
<file path=[Content_Types].xml><?xml version="1.0" encoding="utf-8"?>
<Types xmlns="http://schemas.openxmlformats.org/package/2006/content-types">
  <Default Extension="bin" ContentType="application/vnd.openxmlformats-officedocument.oleObject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rinterSettings/printerSettings1.bin" ContentType="application/vnd.openxmlformats-officedocument.spreadsheetml.printerSettings"/>
  <Override PartName="/xl/drawings/drawing3.xml" ContentType="application/vnd.openxmlformats-officedocument.drawing+xml"/>
  <Override PartName="/xl/printerSettings/printerSettings2.bin" ContentType="application/vnd.openxmlformats-officedocument.spreadsheetml.printerSettings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Employee3\Documents\GitHub\GZ\"/>
    </mc:Choice>
  </mc:AlternateContent>
  <xr:revisionPtr revIDLastSave="0" documentId="13_ncr:1_{7967C9ED-728A-4D64-9807-2EE13810D6C4}" xr6:coauthVersionLast="47" xr6:coauthVersionMax="47" xr10:uidLastSave="{00000000-0000-0000-0000-000000000000}"/>
  <bookViews>
    <workbookView xWindow="-14510" yWindow="-110" windowWidth="14620" windowHeight="25220" activeTab="1" xr2:uid="{00000000-000D-0000-FFFF-FFFF00000000}"/>
  </bookViews>
  <sheets>
    <sheet name="Тепловикация" sheetId="2" r:id="rId1"/>
    <sheet name="Расчет КПД турбина на режимах" sheetId="8" r:id="rId2"/>
    <sheet name="Турбина" sheetId="5" r:id="rId3"/>
    <sheet name="Турбоустановка с теплофикацией" sheetId="4" r:id="rId4"/>
    <sheet name="Sheet1" sheetId="1" r:id="rId5"/>
    <sheet name="Лист1" sheetId="3" r:id="rId6"/>
    <sheet name="Конденсатор" sheetId="6" r:id="rId7"/>
    <sheet name="Давление начальное" sheetId="7" r:id="rId8"/>
  </sheets>
  <externalReferences>
    <externalReference r:id="rId9"/>
    <externalReference r:id="rId10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75" i="8" l="1"/>
  <c r="AD174" i="8"/>
  <c r="AD173" i="8"/>
  <c r="AD172" i="8"/>
  <c r="N161" i="8"/>
  <c r="O161" i="8"/>
  <c r="P161" i="8"/>
  <c r="Q161" i="8"/>
  <c r="R161" i="8"/>
  <c r="S161" i="8"/>
  <c r="T161" i="8"/>
  <c r="U161" i="8"/>
  <c r="M161" i="8"/>
  <c r="N162" i="8"/>
  <c r="O162" i="8"/>
  <c r="P162" i="8"/>
  <c r="Q162" i="8"/>
  <c r="R162" i="8"/>
  <c r="S162" i="8"/>
  <c r="T162" i="8"/>
  <c r="U162" i="8"/>
  <c r="M162" i="8"/>
  <c r="S167" i="8"/>
  <c r="S165" i="8"/>
  <c r="W125" i="8"/>
  <c r="W124" i="8"/>
  <c r="W127" i="8"/>
  <c r="W126" i="8"/>
  <c r="D80" i="8"/>
  <c r="E80" i="8" s="1"/>
  <c r="C80" i="8"/>
  <c r="B114" i="8"/>
  <c r="B79" i="8"/>
  <c r="AO109" i="8"/>
  <c r="AO108" i="8"/>
  <c r="AO107" i="8"/>
  <c r="P100" i="8"/>
  <c r="AV100" i="8"/>
  <c r="Y58" i="8"/>
  <c r="Y59" i="8"/>
  <c r="Y57" i="8"/>
  <c r="F80" i="8" l="1"/>
  <c r="AO110" i="8"/>
  <c r="Y60" i="8"/>
  <c r="AS66" i="8"/>
  <c r="AT66" i="8"/>
  <c r="AU66" i="8"/>
  <c r="AV66" i="8"/>
  <c r="AS72" i="8"/>
  <c r="AT72" i="8"/>
  <c r="AU72" i="8"/>
  <c r="AV72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AB66" i="8"/>
  <c r="AC66" i="8"/>
  <c r="AD66" i="8"/>
  <c r="AE66" i="8"/>
  <c r="AF66" i="8"/>
  <c r="AG66" i="8"/>
  <c r="AH66" i="8"/>
  <c r="AI66" i="8"/>
  <c r="AJ66" i="8"/>
  <c r="AK66" i="8"/>
  <c r="AL66" i="8"/>
  <c r="AM66" i="8"/>
  <c r="AN66" i="8"/>
  <c r="AO66" i="8"/>
  <c r="AP66" i="8"/>
  <c r="AQ66" i="8"/>
  <c r="AR66" i="8"/>
  <c r="C72" i="8"/>
  <c r="D72" i="8"/>
  <c r="E72" i="8"/>
  <c r="F72" i="8"/>
  <c r="G72" i="8"/>
  <c r="H72" i="8"/>
  <c r="I72" i="8"/>
  <c r="J72" i="8"/>
  <c r="K72" i="8"/>
  <c r="K78" i="8" s="1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Z72" i="8"/>
  <c r="AA72" i="8"/>
  <c r="AB72" i="8"/>
  <c r="AC72" i="8"/>
  <c r="AD72" i="8"/>
  <c r="AE72" i="8"/>
  <c r="AF72" i="8"/>
  <c r="AG72" i="8"/>
  <c r="AH72" i="8"/>
  <c r="AI72" i="8"/>
  <c r="AI78" i="8" s="1"/>
  <c r="AJ72" i="8"/>
  <c r="AK72" i="8"/>
  <c r="AL72" i="8"/>
  <c r="AM72" i="8"/>
  <c r="AN72" i="8"/>
  <c r="AO72" i="8"/>
  <c r="AP72" i="8"/>
  <c r="AQ72" i="8"/>
  <c r="AQ78" i="8" s="1"/>
  <c r="AR72" i="8"/>
  <c r="I85" i="8"/>
  <c r="AD176" i="8" l="1"/>
  <c r="G80" i="8"/>
  <c r="AV78" i="8"/>
  <c r="AM78" i="8"/>
  <c r="W78" i="8"/>
  <c r="O78" i="8"/>
  <c r="G78" i="8"/>
  <c r="AE78" i="8"/>
  <c r="AF78" i="8"/>
  <c r="H78" i="8"/>
  <c r="U78" i="8"/>
  <c r="AU78" i="8"/>
  <c r="AT78" i="8"/>
  <c r="AS78" i="8"/>
  <c r="AR78" i="8"/>
  <c r="AJ78" i="8"/>
  <c r="L78" i="8"/>
  <c r="M78" i="8"/>
  <c r="S78" i="8"/>
  <c r="AB78" i="8"/>
  <c r="T78" i="8"/>
  <c r="D78" i="8"/>
  <c r="C78" i="8"/>
  <c r="AA78" i="8"/>
  <c r="AP78" i="8"/>
  <c r="AH78" i="8"/>
  <c r="Z78" i="8"/>
  <c r="R78" i="8"/>
  <c r="J78" i="8"/>
  <c r="AL78" i="8"/>
  <c r="AD78" i="8"/>
  <c r="V78" i="8"/>
  <c r="N78" i="8"/>
  <c r="F78" i="8"/>
  <c r="AN78" i="8"/>
  <c r="X78" i="8"/>
  <c r="P78" i="8"/>
  <c r="AK78" i="8"/>
  <c r="AC78" i="8"/>
  <c r="E78" i="8"/>
  <c r="AO78" i="8"/>
  <c r="AG78" i="8"/>
  <c r="Y78" i="8"/>
  <c r="Q78" i="8"/>
  <c r="I78" i="8"/>
  <c r="B66" i="8"/>
  <c r="B72" i="8"/>
  <c r="AR4" i="8"/>
  <c r="AS4" i="8"/>
  <c r="AT4" i="8"/>
  <c r="AU4" i="8"/>
  <c r="AV4" i="8"/>
  <c r="AR5" i="8"/>
  <c r="AS5" i="8"/>
  <c r="AT5" i="8"/>
  <c r="AU5" i="8"/>
  <c r="AV5" i="8"/>
  <c r="AR6" i="8"/>
  <c r="AS6" i="8"/>
  <c r="AT6" i="8"/>
  <c r="AU6" i="8"/>
  <c r="AV6" i="8"/>
  <c r="AR7" i="8"/>
  <c r="AS7" i="8"/>
  <c r="AT7" i="8"/>
  <c r="AU7" i="8"/>
  <c r="AV7" i="8"/>
  <c r="AR8" i="8"/>
  <c r="AS8" i="8"/>
  <c r="AT8" i="8"/>
  <c r="AU8" i="8"/>
  <c r="AV8" i="8"/>
  <c r="AR9" i="8"/>
  <c r="AS9" i="8"/>
  <c r="AT9" i="8"/>
  <c r="AU9" i="8"/>
  <c r="AV9" i="8"/>
  <c r="AR10" i="8"/>
  <c r="AS10" i="8"/>
  <c r="AT10" i="8"/>
  <c r="AU10" i="8"/>
  <c r="AV10" i="8"/>
  <c r="AR11" i="8"/>
  <c r="AS11" i="8"/>
  <c r="AT11" i="8"/>
  <c r="AU11" i="8"/>
  <c r="AV11" i="8"/>
  <c r="AR12" i="8"/>
  <c r="AR38" i="8" s="1"/>
  <c r="AS12" i="8"/>
  <c r="AS38" i="8" s="1"/>
  <c r="AT12" i="8"/>
  <c r="AT38" i="8" s="1"/>
  <c r="AU12" i="8"/>
  <c r="AU38" i="8" s="1"/>
  <c r="AV12" i="8"/>
  <c r="AV38" i="8" s="1"/>
  <c r="AR13" i="8"/>
  <c r="AR40" i="8" s="1"/>
  <c r="AS13" i="8"/>
  <c r="AS40" i="8" s="1"/>
  <c r="AT13" i="8"/>
  <c r="AT40" i="8" s="1"/>
  <c r="AU13" i="8"/>
  <c r="AU40" i="8" s="1"/>
  <c r="AV13" i="8"/>
  <c r="AV40" i="8" s="1"/>
  <c r="AR14" i="8"/>
  <c r="AR39" i="8" s="1"/>
  <c r="AS14" i="8"/>
  <c r="AS39" i="8" s="1"/>
  <c r="AT14" i="8"/>
  <c r="AT39" i="8" s="1"/>
  <c r="AU14" i="8"/>
  <c r="AU39" i="8" s="1"/>
  <c r="AV14" i="8"/>
  <c r="AV39" i="8" s="1"/>
  <c r="AR15" i="8"/>
  <c r="AS15" i="8"/>
  <c r="AT15" i="8"/>
  <c r="AU15" i="8"/>
  <c r="AV15" i="8"/>
  <c r="AR16" i="8"/>
  <c r="AS16" i="8"/>
  <c r="AT16" i="8"/>
  <c r="AU16" i="8"/>
  <c r="AV16" i="8"/>
  <c r="AR17" i="8"/>
  <c r="AR44" i="8" s="1"/>
  <c r="AS17" i="8"/>
  <c r="AS44" i="8" s="1"/>
  <c r="AT17" i="8"/>
  <c r="AT44" i="8" s="1"/>
  <c r="AU17" i="8"/>
  <c r="AU44" i="8" s="1"/>
  <c r="AV17" i="8"/>
  <c r="AV44" i="8" s="1"/>
  <c r="AR18" i="8"/>
  <c r="AR43" i="8" s="1"/>
  <c r="AS18" i="8"/>
  <c r="AS43" i="8" s="1"/>
  <c r="AT18" i="8"/>
  <c r="AT43" i="8" s="1"/>
  <c r="AU18" i="8"/>
  <c r="AU43" i="8" s="1"/>
  <c r="AV18" i="8"/>
  <c r="AV43" i="8" s="1"/>
  <c r="AR19" i="8"/>
  <c r="AS19" i="8"/>
  <c r="AT19" i="8"/>
  <c r="AU19" i="8"/>
  <c r="AV19" i="8"/>
  <c r="AR20" i="8"/>
  <c r="AS20" i="8"/>
  <c r="AT20" i="8"/>
  <c r="AU20" i="8"/>
  <c r="AV20" i="8"/>
  <c r="AR21" i="8"/>
  <c r="AS21" i="8"/>
  <c r="AT21" i="8"/>
  <c r="AU21" i="8"/>
  <c r="AV21" i="8"/>
  <c r="AR22" i="8"/>
  <c r="AS22" i="8"/>
  <c r="AT22" i="8"/>
  <c r="AU22" i="8"/>
  <c r="AV22" i="8"/>
  <c r="AR23" i="8"/>
  <c r="AS23" i="8"/>
  <c r="AT23" i="8"/>
  <c r="AU23" i="8"/>
  <c r="AV23" i="8"/>
  <c r="AR24" i="8"/>
  <c r="AR64" i="8" s="1"/>
  <c r="AR89" i="8" s="1"/>
  <c r="AS24" i="8"/>
  <c r="AS64" i="8" s="1"/>
  <c r="AS89" i="8" s="1"/>
  <c r="AT24" i="8"/>
  <c r="AT64" i="8" s="1"/>
  <c r="AT89" i="8" s="1"/>
  <c r="AU24" i="8"/>
  <c r="AU64" i="8" s="1"/>
  <c r="AU89" i="8" s="1"/>
  <c r="AV24" i="8"/>
  <c r="AV64" i="8" s="1"/>
  <c r="AR25" i="8"/>
  <c r="AR65" i="8" s="1"/>
  <c r="AS25" i="8"/>
  <c r="AS65" i="8" s="1"/>
  <c r="AT25" i="8"/>
  <c r="AT65" i="8" s="1"/>
  <c r="AU25" i="8"/>
  <c r="AU65" i="8" s="1"/>
  <c r="AV25" i="8"/>
  <c r="AV65" i="8" s="1"/>
  <c r="AR28" i="8"/>
  <c r="AS28" i="8"/>
  <c r="AT28" i="8"/>
  <c r="AU28" i="8"/>
  <c r="AV28" i="8"/>
  <c r="AR29" i="8"/>
  <c r="AR71" i="8" s="1"/>
  <c r="AS29" i="8"/>
  <c r="AS71" i="8" s="1"/>
  <c r="AT29" i="8"/>
  <c r="AT71" i="8" s="1"/>
  <c r="AU29" i="8"/>
  <c r="AU71" i="8" s="1"/>
  <c r="AV29" i="8"/>
  <c r="AV71" i="8" s="1"/>
  <c r="AQ5" i="8"/>
  <c r="AQ6" i="8"/>
  <c r="AQ7" i="8"/>
  <c r="AQ8" i="8"/>
  <c r="AQ9" i="8"/>
  <c r="AQ10" i="8"/>
  <c r="AQ11" i="8"/>
  <c r="AQ12" i="8"/>
  <c r="AQ38" i="8" s="1"/>
  <c r="AQ13" i="8"/>
  <c r="AQ40" i="8" s="1"/>
  <c r="AQ14" i="8"/>
  <c r="AQ39" i="8" s="1"/>
  <c r="AQ15" i="8"/>
  <c r="AQ16" i="8"/>
  <c r="AQ17" i="8"/>
  <c r="AQ44" i="8" s="1"/>
  <c r="AQ18" i="8"/>
  <c r="AQ43" i="8" s="1"/>
  <c r="AQ19" i="8"/>
  <c r="AQ20" i="8"/>
  <c r="AQ21" i="8"/>
  <c r="AQ22" i="8"/>
  <c r="AQ23" i="8"/>
  <c r="AQ24" i="8"/>
  <c r="AQ64" i="8" s="1"/>
  <c r="AQ89" i="8" s="1"/>
  <c r="AQ25" i="8"/>
  <c r="AQ65" i="8" s="1"/>
  <c r="AQ28" i="8"/>
  <c r="AQ29" i="8"/>
  <c r="AQ71" i="8" s="1"/>
  <c r="AQ4" i="8"/>
  <c r="AL4" i="8"/>
  <c r="AM4" i="8"/>
  <c r="AN4" i="8"/>
  <c r="AO4" i="8"/>
  <c r="AP4" i="8"/>
  <c r="AL5" i="8"/>
  <c r="AM5" i="8"/>
  <c r="AN5" i="8"/>
  <c r="AO5" i="8"/>
  <c r="AP5" i="8"/>
  <c r="AL6" i="8"/>
  <c r="AM6" i="8"/>
  <c r="AN6" i="8"/>
  <c r="AO6" i="8"/>
  <c r="AP6" i="8"/>
  <c r="AL7" i="8"/>
  <c r="AM7" i="8"/>
  <c r="AN7" i="8"/>
  <c r="AO7" i="8"/>
  <c r="AP7" i="8"/>
  <c r="AL8" i="8"/>
  <c r="AM8" i="8"/>
  <c r="AN8" i="8"/>
  <c r="AO8" i="8"/>
  <c r="AP8" i="8"/>
  <c r="AL9" i="8"/>
  <c r="AM9" i="8"/>
  <c r="AN9" i="8"/>
  <c r="AO9" i="8"/>
  <c r="AP9" i="8"/>
  <c r="AL10" i="8"/>
  <c r="AM10" i="8"/>
  <c r="AN10" i="8"/>
  <c r="AO10" i="8"/>
  <c r="AP10" i="8"/>
  <c r="AL11" i="8"/>
  <c r="AM11" i="8"/>
  <c r="AN11" i="8"/>
  <c r="AO11" i="8"/>
  <c r="AP11" i="8"/>
  <c r="AL12" i="8"/>
  <c r="AL38" i="8" s="1"/>
  <c r="AM12" i="8"/>
  <c r="AM38" i="8" s="1"/>
  <c r="AN12" i="8"/>
  <c r="AN38" i="8" s="1"/>
  <c r="AO12" i="8"/>
  <c r="AO38" i="8" s="1"/>
  <c r="AP12" i="8"/>
  <c r="AP38" i="8" s="1"/>
  <c r="AL13" i="8"/>
  <c r="AL40" i="8" s="1"/>
  <c r="AM13" i="8"/>
  <c r="AM40" i="8" s="1"/>
  <c r="AN13" i="8"/>
  <c r="AN40" i="8" s="1"/>
  <c r="AO13" i="8"/>
  <c r="AO40" i="8" s="1"/>
  <c r="AP13" i="8"/>
  <c r="AP40" i="8" s="1"/>
  <c r="AL14" i="8"/>
  <c r="AL39" i="8" s="1"/>
  <c r="AM14" i="8"/>
  <c r="AM39" i="8" s="1"/>
  <c r="AN14" i="8"/>
  <c r="AN39" i="8" s="1"/>
  <c r="AO14" i="8"/>
  <c r="AO39" i="8" s="1"/>
  <c r="AP14" i="8"/>
  <c r="AP39" i="8" s="1"/>
  <c r="AL15" i="8"/>
  <c r="AM15" i="8"/>
  <c r="AN15" i="8"/>
  <c r="AO15" i="8"/>
  <c r="AP15" i="8"/>
  <c r="AL16" i="8"/>
  <c r="AM16" i="8"/>
  <c r="AN16" i="8"/>
  <c r="AO16" i="8"/>
  <c r="AP16" i="8"/>
  <c r="AL17" i="8"/>
  <c r="AL44" i="8" s="1"/>
  <c r="AM17" i="8"/>
  <c r="AM44" i="8" s="1"/>
  <c r="AN17" i="8"/>
  <c r="AN44" i="8" s="1"/>
  <c r="AO17" i="8"/>
  <c r="AO44" i="8" s="1"/>
  <c r="AP17" i="8"/>
  <c r="AP44" i="8" s="1"/>
  <c r="AL18" i="8"/>
  <c r="AL43" i="8" s="1"/>
  <c r="AM18" i="8"/>
  <c r="AM43" i="8" s="1"/>
  <c r="AN18" i="8"/>
  <c r="AN43" i="8" s="1"/>
  <c r="AO18" i="8"/>
  <c r="AO43" i="8" s="1"/>
  <c r="AP18" i="8"/>
  <c r="AP43" i="8" s="1"/>
  <c r="AL19" i="8"/>
  <c r="AM19" i="8"/>
  <c r="AN19" i="8"/>
  <c r="AO19" i="8"/>
  <c r="AP19" i="8"/>
  <c r="AL20" i="8"/>
  <c r="AM20" i="8"/>
  <c r="AN20" i="8"/>
  <c r="AO20" i="8"/>
  <c r="AP20" i="8"/>
  <c r="AL21" i="8"/>
  <c r="AM21" i="8"/>
  <c r="AN21" i="8"/>
  <c r="AO21" i="8"/>
  <c r="AP21" i="8"/>
  <c r="AL22" i="8"/>
  <c r="AM22" i="8"/>
  <c r="AN22" i="8"/>
  <c r="AO22" i="8"/>
  <c r="AP22" i="8"/>
  <c r="AL23" i="8"/>
  <c r="AM23" i="8"/>
  <c r="AN23" i="8"/>
  <c r="AO23" i="8"/>
  <c r="AP23" i="8"/>
  <c r="AL24" i="8"/>
  <c r="AL64" i="8" s="1"/>
  <c r="AL89" i="8" s="1"/>
  <c r="AM24" i="8"/>
  <c r="AM64" i="8" s="1"/>
  <c r="AM89" i="8" s="1"/>
  <c r="AN24" i="8"/>
  <c r="AN64" i="8" s="1"/>
  <c r="AN89" i="8" s="1"/>
  <c r="AO24" i="8"/>
  <c r="AO64" i="8" s="1"/>
  <c r="AO89" i="8" s="1"/>
  <c r="AP24" i="8"/>
  <c r="AP64" i="8" s="1"/>
  <c r="AP89" i="8" s="1"/>
  <c r="AL25" i="8"/>
  <c r="AL65" i="8" s="1"/>
  <c r="AM25" i="8"/>
  <c r="AM65" i="8" s="1"/>
  <c r="AN25" i="8"/>
  <c r="AN65" i="8" s="1"/>
  <c r="AO25" i="8"/>
  <c r="AO65" i="8" s="1"/>
  <c r="AP25" i="8"/>
  <c r="AP65" i="8" s="1"/>
  <c r="AL27" i="8"/>
  <c r="AM27" i="8"/>
  <c r="AN27" i="8"/>
  <c r="AO27" i="8"/>
  <c r="AP27" i="8"/>
  <c r="AL28" i="8"/>
  <c r="AM28" i="8"/>
  <c r="AN28" i="8"/>
  <c r="AO28" i="8"/>
  <c r="AP28" i="8"/>
  <c r="AL29" i="8"/>
  <c r="AL71" i="8" s="1"/>
  <c r="AM29" i="8"/>
  <c r="AM71" i="8" s="1"/>
  <c r="AN29" i="8"/>
  <c r="AN71" i="8" s="1"/>
  <c r="AO29" i="8"/>
  <c r="AO71" i="8" s="1"/>
  <c r="AP29" i="8"/>
  <c r="AP71" i="8" s="1"/>
  <c r="AK5" i="8"/>
  <c r="AK6" i="8"/>
  <c r="AK7" i="8"/>
  <c r="AK8" i="8"/>
  <c r="AK9" i="8"/>
  <c r="AK10" i="8"/>
  <c r="AK11" i="8"/>
  <c r="AK12" i="8"/>
  <c r="AK38" i="8" s="1"/>
  <c r="AK13" i="8"/>
  <c r="AK40" i="8" s="1"/>
  <c r="AK14" i="8"/>
  <c r="AK39" i="8" s="1"/>
  <c r="AK15" i="8"/>
  <c r="AK16" i="8"/>
  <c r="AK17" i="8"/>
  <c r="AK44" i="8" s="1"/>
  <c r="AK18" i="8"/>
  <c r="AK43" i="8" s="1"/>
  <c r="AK19" i="8"/>
  <c r="AK20" i="8"/>
  <c r="AK21" i="8"/>
  <c r="AK22" i="8"/>
  <c r="AK23" i="8"/>
  <c r="AK24" i="8"/>
  <c r="AK64" i="8" s="1"/>
  <c r="AK89" i="8" s="1"/>
  <c r="AK25" i="8"/>
  <c r="AK65" i="8" s="1"/>
  <c r="AK27" i="8"/>
  <c r="AK28" i="8"/>
  <c r="AK29" i="8"/>
  <c r="AK71" i="8" s="1"/>
  <c r="AK4" i="8"/>
  <c r="Z4" i="8"/>
  <c r="AA4" i="8"/>
  <c r="AB4" i="8"/>
  <c r="AC4" i="8"/>
  <c r="AD4" i="8"/>
  <c r="Z5" i="8"/>
  <c r="AA5" i="8"/>
  <c r="AB5" i="8"/>
  <c r="AC5" i="8"/>
  <c r="AD5" i="8"/>
  <c r="Z6" i="8"/>
  <c r="AA6" i="8"/>
  <c r="AB6" i="8"/>
  <c r="AC6" i="8"/>
  <c r="AD6" i="8"/>
  <c r="Z7" i="8"/>
  <c r="AA7" i="8"/>
  <c r="AB7" i="8"/>
  <c r="AC7" i="8"/>
  <c r="AD7" i="8"/>
  <c r="Z8" i="8"/>
  <c r="AA8" i="8"/>
  <c r="AB8" i="8"/>
  <c r="AC8" i="8"/>
  <c r="AD8" i="8"/>
  <c r="Z9" i="8"/>
  <c r="AA9" i="8"/>
  <c r="AB9" i="8"/>
  <c r="AC9" i="8"/>
  <c r="AD9" i="8"/>
  <c r="Z10" i="8"/>
  <c r="AA10" i="8"/>
  <c r="AB10" i="8"/>
  <c r="AC10" i="8"/>
  <c r="AD10" i="8"/>
  <c r="Z11" i="8"/>
  <c r="AA11" i="8"/>
  <c r="AB11" i="8"/>
  <c r="AC11" i="8"/>
  <c r="AD11" i="8"/>
  <c r="Z12" i="8"/>
  <c r="Z38" i="8" s="1"/>
  <c r="AA12" i="8"/>
  <c r="AA38" i="8" s="1"/>
  <c r="AB12" i="8"/>
  <c r="AB38" i="8" s="1"/>
  <c r="AC12" i="8"/>
  <c r="AC38" i="8" s="1"/>
  <c r="AD12" i="8"/>
  <c r="AD38" i="8" s="1"/>
  <c r="Z13" i="8"/>
  <c r="Z40" i="8" s="1"/>
  <c r="AA13" i="8"/>
  <c r="AA40" i="8" s="1"/>
  <c r="AB13" i="8"/>
  <c r="AB40" i="8" s="1"/>
  <c r="AC13" i="8"/>
  <c r="AC40" i="8" s="1"/>
  <c r="AD13" i="8"/>
  <c r="AD40" i="8" s="1"/>
  <c r="Z14" i="8"/>
  <c r="Z39" i="8" s="1"/>
  <c r="AA14" i="8"/>
  <c r="AA39" i="8" s="1"/>
  <c r="AB14" i="8"/>
  <c r="AB39" i="8" s="1"/>
  <c r="AC14" i="8"/>
  <c r="AC39" i="8" s="1"/>
  <c r="AD14" i="8"/>
  <c r="AD39" i="8" s="1"/>
  <c r="Z15" i="8"/>
  <c r="AA15" i="8"/>
  <c r="AB15" i="8"/>
  <c r="AC15" i="8"/>
  <c r="AD15" i="8"/>
  <c r="Z16" i="8"/>
  <c r="AA16" i="8"/>
  <c r="AB16" i="8"/>
  <c r="AC16" i="8"/>
  <c r="AD16" i="8"/>
  <c r="Z17" i="8"/>
  <c r="Z44" i="8" s="1"/>
  <c r="AA17" i="8"/>
  <c r="AA44" i="8" s="1"/>
  <c r="AB17" i="8"/>
  <c r="AB44" i="8" s="1"/>
  <c r="AC17" i="8"/>
  <c r="AC44" i="8" s="1"/>
  <c r="AD17" i="8"/>
  <c r="AD44" i="8" s="1"/>
  <c r="Z18" i="8"/>
  <c r="Z43" i="8" s="1"/>
  <c r="AA18" i="8"/>
  <c r="AA43" i="8" s="1"/>
  <c r="AB18" i="8"/>
  <c r="AB43" i="8" s="1"/>
  <c r="AC18" i="8"/>
  <c r="AC43" i="8" s="1"/>
  <c r="AD18" i="8"/>
  <c r="AD43" i="8" s="1"/>
  <c r="Z19" i="8"/>
  <c r="AA19" i="8"/>
  <c r="AB19" i="8"/>
  <c r="AC19" i="8"/>
  <c r="AD19" i="8"/>
  <c r="Z20" i="8"/>
  <c r="AA20" i="8"/>
  <c r="AB20" i="8"/>
  <c r="AC20" i="8"/>
  <c r="AD20" i="8"/>
  <c r="Z21" i="8"/>
  <c r="AA21" i="8"/>
  <c r="AB21" i="8"/>
  <c r="AC21" i="8"/>
  <c r="AD21" i="8"/>
  <c r="Z22" i="8"/>
  <c r="AA22" i="8"/>
  <c r="AB22" i="8"/>
  <c r="AC22" i="8"/>
  <c r="AD22" i="8"/>
  <c r="Z23" i="8"/>
  <c r="AA23" i="8"/>
  <c r="AB23" i="8"/>
  <c r="AC23" i="8"/>
  <c r="AD23" i="8"/>
  <c r="Z24" i="8"/>
  <c r="Z64" i="8" s="1"/>
  <c r="Z89" i="8" s="1"/>
  <c r="AA24" i="8"/>
  <c r="AA64" i="8" s="1"/>
  <c r="AA89" i="8" s="1"/>
  <c r="AB24" i="8"/>
  <c r="AB64" i="8" s="1"/>
  <c r="AB89" i="8" s="1"/>
  <c r="AC24" i="8"/>
  <c r="AC64" i="8" s="1"/>
  <c r="AC89" i="8" s="1"/>
  <c r="AD24" i="8"/>
  <c r="AD64" i="8" s="1"/>
  <c r="AD89" i="8" s="1"/>
  <c r="Z25" i="8"/>
  <c r="Z65" i="8" s="1"/>
  <c r="AA25" i="8"/>
  <c r="AA65" i="8" s="1"/>
  <c r="AB25" i="8"/>
  <c r="AB65" i="8" s="1"/>
  <c r="AC25" i="8"/>
  <c r="AC65" i="8" s="1"/>
  <c r="AD25" i="8"/>
  <c r="AD65" i="8" s="1"/>
  <c r="Z27" i="8"/>
  <c r="AA27" i="8"/>
  <c r="AB27" i="8"/>
  <c r="AC27" i="8"/>
  <c r="AD27" i="8"/>
  <c r="Z28" i="8"/>
  <c r="AA28" i="8"/>
  <c r="AB28" i="8"/>
  <c r="AC28" i="8"/>
  <c r="AD28" i="8"/>
  <c r="Z29" i="8"/>
  <c r="Z71" i="8" s="1"/>
  <c r="AA29" i="8"/>
  <c r="AA71" i="8" s="1"/>
  <c r="AB29" i="8"/>
  <c r="AB71" i="8" s="1"/>
  <c r="AC29" i="8"/>
  <c r="AC71" i="8" s="1"/>
  <c r="AD29" i="8"/>
  <c r="AD71" i="8" s="1"/>
  <c r="Y5" i="8"/>
  <c r="Y6" i="8"/>
  <c r="Y7" i="8"/>
  <c r="Y8" i="8"/>
  <c r="Y9" i="8"/>
  <c r="Y10" i="8"/>
  <c r="Y11" i="8"/>
  <c r="Y12" i="8"/>
  <c r="Y38" i="8" s="1"/>
  <c r="Y13" i="8"/>
  <c r="Y40" i="8" s="1"/>
  <c r="Y14" i="8"/>
  <c r="Y39" i="8" s="1"/>
  <c r="Y15" i="8"/>
  <c r="Y16" i="8"/>
  <c r="Y17" i="8"/>
  <c r="Y44" i="8" s="1"/>
  <c r="Y18" i="8"/>
  <c r="Y43" i="8" s="1"/>
  <c r="Y19" i="8"/>
  <c r="Y20" i="8"/>
  <c r="Y21" i="8"/>
  <c r="Y22" i="8"/>
  <c r="Y23" i="8"/>
  <c r="Y24" i="8"/>
  <c r="Y64" i="8" s="1"/>
  <c r="Y89" i="8" s="1"/>
  <c r="Y25" i="8"/>
  <c r="Y65" i="8" s="1"/>
  <c r="Y27" i="8"/>
  <c r="Y28" i="8"/>
  <c r="Y29" i="8"/>
  <c r="Y71" i="8" s="1"/>
  <c r="Y4" i="8"/>
  <c r="AF4" i="8"/>
  <c r="AG4" i="8"/>
  <c r="AH4" i="8"/>
  <c r="AI4" i="8"/>
  <c r="AJ4" i="8"/>
  <c r="AF5" i="8"/>
  <c r="AG5" i="8"/>
  <c r="AH5" i="8"/>
  <c r="AI5" i="8"/>
  <c r="AJ5" i="8"/>
  <c r="AF6" i="8"/>
  <c r="AG6" i="8"/>
  <c r="AH6" i="8"/>
  <c r="AI6" i="8"/>
  <c r="AJ6" i="8"/>
  <c r="AF7" i="8"/>
  <c r="AG7" i="8"/>
  <c r="AH7" i="8"/>
  <c r="AI7" i="8"/>
  <c r="AJ7" i="8"/>
  <c r="AF8" i="8"/>
  <c r="AG8" i="8"/>
  <c r="AH8" i="8"/>
  <c r="AI8" i="8"/>
  <c r="AJ8" i="8"/>
  <c r="AF9" i="8"/>
  <c r="AG9" i="8"/>
  <c r="AH9" i="8"/>
  <c r="AI9" i="8"/>
  <c r="AJ9" i="8"/>
  <c r="AF10" i="8"/>
  <c r="AG10" i="8"/>
  <c r="AH10" i="8"/>
  <c r="AI10" i="8"/>
  <c r="AJ10" i="8"/>
  <c r="AF11" i="8"/>
  <c r="AG11" i="8"/>
  <c r="AH11" i="8"/>
  <c r="AI11" i="8"/>
  <c r="AJ11" i="8"/>
  <c r="AF12" i="8"/>
  <c r="AF38" i="8" s="1"/>
  <c r="AG12" i="8"/>
  <c r="AG38" i="8" s="1"/>
  <c r="AH12" i="8"/>
  <c r="AH38" i="8" s="1"/>
  <c r="AI12" i="8"/>
  <c r="AI38" i="8" s="1"/>
  <c r="AJ12" i="8"/>
  <c r="AJ38" i="8" s="1"/>
  <c r="AF13" i="8"/>
  <c r="AF40" i="8" s="1"/>
  <c r="AG13" i="8"/>
  <c r="AG40" i="8" s="1"/>
  <c r="AH13" i="8"/>
  <c r="AH40" i="8" s="1"/>
  <c r="AI13" i="8"/>
  <c r="AI40" i="8" s="1"/>
  <c r="AJ13" i="8"/>
  <c r="AJ40" i="8" s="1"/>
  <c r="AF14" i="8"/>
  <c r="AF39" i="8" s="1"/>
  <c r="AG14" i="8"/>
  <c r="AG39" i="8" s="1"/>
  <c r="AH14" i="8"/>
  <c r="AH39" i="8" s="1"/>
  <c r="AI14" i="8"/>
  <c r="AI39" i="8" s="1"/>
  <c r="AJ14" i="8"/>
  <c r="AJ39" i="8" s="1"/>
  <c r="AF15" i="8"/>
  <c r="AG15" i="8"/>
  <c r="AH15" i="8"/>
  <c r="AI15" i="8"/>
  <c r="AJ15" i="8"/>
  <c r="AF16" i="8"/>
  <c r="AG16" i="8"/>
  <c r="AH16" i="8"/>
  <c r="AI16" i="8"/>
  <c r="AJ16" i="8"/>
  <c r="AF17" i="8"/>
  <c r="AF44" i="8" s="1"/>
  <c r="AG17" i="8"/>
  <c r="AG44" i="8" s="1"/>
  <c r="AH17" i="8"/>
  <c r="AH44" i="8" s="1"/>
  <c r="AI17" i="8"/>
  <c r="AI44" i="8" s="1"/>
  <c r="AJ17" i="8"/>
  <c r="AJ44" i="8" s="1"/>
  <c r="AF18" i="8"/>
  <c r="AF43" i="8" s="1"/>
  <c r="AG18" i="8"/>
  <c r="AG43" i="8" s="1"/>
  <c r="AH18" i="8"/>
  <c r="AH43" i="8" s="1"/>
  <c r="AI18" i="8"/>
  <c r="AI43" i="8" s="1"/>
  <c r="AJ18" i="8"/>
  <c r="AJ43" i="8" s="1"/>
  <c r="AF19" i="8"/>
  <c r="AG19" i="8"/>
  <c r="AH19" i="8"/>
  <c r="AI19" i="8"/>
  <c r="AJ19" i="8"/>
  <c r="AF20" i="8"/>
  <c r="AG20" i="8"/>
  <c r="AH20" i="8"/>
  <c r="AI20" i="8"/>
  <c r="AJ20" i="8"/>
  <c r="AF21" i="8"/>
  <c r="AG21" i="8"/>
  <c r="AH21" i="8"/>
  <c r="AI21" i="8"/>
  <c r="AJ21" i="8"/>
  <c r="AF22" i="8"/>
  <c r="AG22" i="8"/>
  <c r="AH22" i="8"/>
  <c r="AI22" i="8"/>
  <c r="AJ22" i="8"/>
  <c r="AF23" i="8"/>
  <c r="AG23" i="8"/>
  <c r="AH23" i="8"/>
  <c r="AI23" i="8"/>
  <c r="AJ23" i="8"/>
  <c r="AF24" i="8"/>
  <c r="AF64" i="8" s="1"/>
  <c r="AF89" i="8" s="1"/>
  <c r="AG24" i="8"/>
  <c r="AG64" i="8" s="1"/>
  <c r="AG89" i="8" s="1"/>
  <c r="AH24" i="8"/>
  <c r="AH64" i="8" s="1"/>
  <c r="AH89" i="8" s="1"/>
  <c r="AI24" i="8"/>
  <c r="AI64" i="8" s="1"/>
  <c r="AI89" i="8" s="1"/>
  <c r="AJ24" i="8"/>
  <c r="AJ64" i="8" s="1"/>
  <c r="AJ89" i="8" s="1"/>
  <c r="AF25" i="8"/>
  <c r="AF65" i="8" s="1"/>
  <c r="AG25" i="8"/>
  <c r="AG65" i="8" s="1"/>
  <c r="AH25" i="8"/>
  <c r="AH65" i="8" s="1"/>
  <c r="AI25" i="8"/>
  <c r="AI65" i="8" s="1"/>
  <c r="AJ25" i="8"/>
  <c r="AJ65" i="8" s="1"/>
  <c r="AF28" i="8"/>
  <c r="AG28" i="8"/>
  <c r="AH28" i="8"/>
  <c r="AI28" i="8"/>
  <c r="AJ28" i="8"/>
  <c r="AF29" i="8"/>
  <c r="AF71" i="8" s="1"/>
  <c r="AG29" i="8"/>
  <c r="AG71" i="8" s="1"/>
  <c r="AH29" i="8"/>
  <c r="AH71" i="8" s="1"/>
  <c r="AI29" i="8"/>
  <c r="AI71" i="8" s="1"/>
  <c r="AJ29" i="8"/>
  <c r="AJ71" i="8" s="1"/>
  <c r="AE5" i="8"/>
  <c r="AE6" i="8"/>
  <c r="AE7" i="8"/>
  <c r="AE8" i="8"/>
  <c r="AE9" i="8"/>
  <c r="AE10" i="8"/>
  <c r="AE11" i="8"/>
  <c r="AE12" i="8"/>
  <c r="AE38" i="8" s="1"/>
  <c r="AE13" i="8"/>
  <c r="AE40" i="8" s="1"/>
  <c r="AE14" i="8"/>
  <c r="AE39" i="8" s="1"/>
  <c r="AE15" i="8"/>
  <c r="AE16" i="8"/>
  <c r="AE17" i="8"/>
  <c r="AE44" i="8" s="1"/>
  <c r="AE18" i="8"/>
  <c r="AE43" i="8" s="1"/>
  <c r="AE19" i="8"/>
  <c r="AE20" i="8"/>
  <c r="AE21" i="8"/>
  <c r="AE22" i="8"/>
  <c r="AE23" i="8"/>
  <c r="AE24" i="8"/>
  <c r="AE64" i="8" s="1"/>
  <c r="AE89" i="8" s="1"/>
  <c r="AE25" i="8"/>
  <c r="AE65" i="8" s="1"/>
  <c r="AE28" i="8"/>
  <c r="AE29" i="8"/>
  <c r="AE71" i="8" s="1"/>
  <c r="AE4" i="8"/>
  <c r="O4" i="8"/>
  <c r="P4" i="8"/>
  <c r="Q4" i="8"/>
  <c r="R4" i="8"/>
  <c r="S4" i="8"/>
  <c r="T4" i="8"/>
  <c r="U4" i="8"/>
  <c r="V4" i="8"/>
  <c r="W4" i="8"/>
  <c r="X4" i="8"/>
  <c r="O5" i="8"/>
  <c r="P5" i="8"/>
  <c r="Q5" i="8"/>
  <c r="R5" i="8"/>
  <c r="S5" i="8"/>
  <c r="T5" i="8"/>
  <c r="U5" i="8"/>
  <c r="V5" i="8"/>
  <c r="W5" i="8"/>
  <c r="X5" i="8"/>
  <c r="O6" i="8"/>
  <c r="P6" i="8"/>
  <c r="Q6" i="8"/>
  <c r="R6" i="8"/>
  <c r="S6" i="8"/>
  <c r="T6" i="8"/>
  <c r="U6" i="8"/>
  <c r="V6" i="8"/>
  <c r="W6" i="8"/>
  <c r="X6" i="8"/>
  <c r="O7" i="8"/>
  <c r="P7" i="8"/>
  <c r="Q7" i="8"/>
  <c r="R7" i="8"/>
  <c r="S7" i="8"/>
  <c r="T7" i="8"/>
  <c r="U7" i="8"/>
  <c r="V7" i="8"/>
  <c r="W7" i="8"/>
  <c r="X7" i="8"/>
  <c r="O8" i="8"/>
  <c r="P8" i="8"/>
  <c r="Q8" i="8"/>
  <c r="R8" i="8"/>
  <c r="S8" i="8"/>
  <c r="T8" i="8"/>
  <c r="U8" i="8"/>
  <c r="V8" i="8"/>
  <c r="W8" i="8"/>
  <c r="X8" i="8"/>
  <c r="O9" i="8"/>
  <c r="P9" i="8"/>
  <c r="Q9" i="8"/>
  <c r="R9" i="8"/>
  <c r="S9" i="8"/>
  <c r="T9" i="8"/>
  <c r="U9" i="8"/>
  <c r="V9" i="8"/>
  <c r="W9" i="8"/>
  <c r="X9" i="8"/>
  <c r="O10" i="8"/>
  <c r="P10" i="8"/>
  <c r="Q10" i="8"/>
  <c r="R10" i="8"/>
  <c r="S10" i="8"/>
  <c r="T10" i="8"/>
  <c r="U10" i="8"/>
  <c r="V10" i="8"/>
  <c r="W10" i="8"/>
  <c r="X10" i="8"/>
  <c r="O11" i="8"/>
  <c r="P11" i="8"/>
  <c r="Q11" i="8"/>
  <c r="R11" i="8"/>
  <c r="S11" i="8"/>
  <c r="T11" i="8"/>
  <c r="U11" i="8"/>
  <c r="V11" i="8"/>
  <c r="W11" i="8"/>
  <c r="X11" i="8"/>
  <c r="O12" i="8"/>
  <c r="O38" i="8" s="1"/>
  <c r="P12" i="8"/>
  <c r="P38" i="8" s="1"/>
  <c r="Q12" i="8"/>
  <c r="Q38" i="8" s="1"/>
  <c r="R12" i="8"/>
  <c r="R38" i="8" s="1"/>
  <c r="S12" i="8"/>
  <c r="S38" i="8" s="1"/>
  <c r="T12" i="8"/>
  <c r="T38" i="8" s="1"/>
  <c r="U12" i="8"/>
  <c r="U38" i="8" s="1"/>
  <c r="V12" i="8"/>
  <c r="V38" i="8" s="1"/>
  <c r="W12" i="8"/>
  <c r="W38" i="8" s="1"/>
  <c r="X12" i="8"/>
  <c r="X38" i="8" s="1"/>
  <c r="O13" i="8"/>
  <c r="O40" i="8" s="1"/>
  <c r="P13" i="8"/>
  <c r="P40" i="8" s="1"/>
  <c r="Q13" i="8"/>
  <c r="Q40" i="8" s="1"/>
  <c r="R13" i="8"/>
  <c r="R40" i="8" s="1"/>
  <c r="S13" i="8"/>
  <c r="S40" i="8" s="1"/>
  <c r="T13" i="8"/>
  <c r="T40" i="8" s="1"/>
  <c r="U13" i="8"/>
  <c r="U40" i="8" s="1"/>
  <c r="V13" i="8"/>
  <c r="V40" i="8" s="1"/>
  <c r="W13" i="8"/>
  <c r="W40" i="8" s="1"/>
  <c r="X13" i="8"/>
  <c r="X40" i="8" s="1"/>
  <c r="O14" i="8"/>
  <c r="O39" i="8" s="1"/>
  <c r="P14" i="8"/>
  <c r="P39" i="8" s="1"/>
  <c r="Q14" i="8"/>
  <c r="Q39" i="8" s="1"/>
  <c r="R14" i="8"/>
  <c r="R39" i="8" s="1"/>
  <c r="S14" i="8"/>
  <c r="S39" i="8" s="1"/>
  <c r="T14" i="8"/>
  <c r="T39" i="8" s="1"/>
  <c r="U14" i="8"/>
  <c r="U39" i="8" s="1"/>
  <c r="V14" i="8"/>
  <c r="V39" i="8" s="1"/>
  <c r="W14" i="8"/>
  <c r="W39" i="8" s="1"/>
  <c r="X14" i="8"/>
  <c r="X39" i="8" s="1"/>
  <c r="O15" i="8"/>
  <c r="P15" i="8"/>
  <c r="Q15" i="8"/>
  <c r="R15" i="8"/>
  <c r="S15" i="8"/>
  <c r="T15" i="8"/>
  <c r="U15" i="8"/>
  <c r="V15" i="8"/>
  <c r="W15" i="8"/>
  <c r="X15" i="8"/>
  <c r="O16" i="8"/>
  <c r="P16" i="8"/>
  <c r="Q16" i="8"/>
  <c r="R16" i="8"/>
  <c r="S16" i="8"/>
  <c r="T16" i="8"/>
  <c r="U16" i="8"/>
  <c r="V16" i="8"/>
  <c r="W16" i="8"/>
  <c r="X16" i="8"/>
  <c r="O17" i="8"/>
  <c r="O44" i="8" s="1"/>
  <c r="P17" i="8"/>
  <c r="P44" i="8" s="1"/>
  <c r="Q17" i="8"/>
  <c r="Q44" i="8" s="1"/>
  <c r="R17" i="8"/>
  <c r="R44" i="8" s="1"/>
  <c r="S17" i="8"/>
  <c r="S44" i="8" s="1"/>
  <c r="T17" i="8"/>
  <c r="T44" i="8" s="1"/>
  <c r="U17" i="8"/>
  <c r="U44" i="8" s="1"/>
  <c r="V17" i="8"/>
  <c r="V44" i="8" s="1"/>
  <c r="W17" i="8"/>
  <c r="W44" i="8" s="1"/>
  <c r="X17" i="8"/>
  <c r="X44" i="8" s="1"/>
  <c r="O18" i="8"/>
  <c r="O43" i="8" s="1"/>
  <c r="P18" i="8"/>
  <c r="P43" i="8" s="1"/>
  <c r="Q18" i="8"/>
  <c r="Q43" i="8" s="1"/>
  <c r="R18" i="8"/>
  <c r="R43" i="8" s="1"/>
  <c r="S18" i="8"/>
  <c r="S43" i="8" s="1"/>
  <c r="T18" i="8"/>
  <c r="T43" i="8" s="1"/>
  <c r="U18" i="8"/>
  <c r="U43" i="8" s="1"/>
  <c r="V18" i="8"/>
  <c r="V43" i="8" s="1"/>
  <c r="W18" i="8"/>
  <c r="W43" i="8" s="1"/>
  <c r="X18" i="8"/>
  <c r="X43" i="8" s="1"/>
  <c r="O19" i="8"/>
  <c r="P19" i="8"/>
  <c r="Q19" i="8"/>
  <c r="R19" i="8"/>
  <c r="S19" i="8"/>
  <c r="T19" i="8"/>
  <c r="U19" i="8"/>
  <c r="V19" i="8"/>
  <c r="W19" i="8"/>
  <c r="X19" i="8"/>
  <c r="O20" i="8"/>
  <c r="P20" i="8"/>
  <c r="Q20" i="8"/>
  <c r="R20" i="8"/>
  <c r="S20" i="8"/>
  <c r="T20" i="8"/>
  <c r="U20" i="8"/>
  <c r="V20" i="8"/>
  <c r="W20" i="8"/>
  <c r="X20" i="8"/>
  <c r="O21" i="8"/>
  <c r="P21" i="8"/>
  <c r="Q21" i="8"/>
  <c r="R21" i="8"/>
  <c r="S21" i="8"/>
  <c r="T21" i="8"/>
  <c r="U21" i="8"/>
  <c r="V21" i="8"/>
  <c r="W21" i="8"/>
  <c r="X21" i="8"/>
  <c r="O22" i="8"/>
  <c r="P22" i="8"/>
  <c r="Q22" i="8"/>
  <c r="R22" i="8"/>
  <c r="S22" i="8"/>
  <c r="T22" i="8"/>
  <c r="U22" i="8"/>
  <c r="V22" i="8"/>
  <c r="W22" i="8"/>
  <c r="X22" i="8"/>
  <c r="O23" i="8"/>
  <c r="P23" i="8"/>
  <c r="Q23" i="8"/>
  <c r="R23" i="8"/>
  <c r="S23" i="8"/>
  <c r="T23" i="8"/>
  <c r="U23" i="8"/>
  <c r="V23" i="8"/>
  <c r="W23" i="8"/>
  <c r="X23" i="8"/>
  <c r="O24" i="8"/>
  <c r="O64" i="8" s="1"/>
  <c r="O89" i="8" s="1"/>
  <c r="P24" i="8"/>
  <c r="P64" i="8" s="1"/>
  <c r="P89" i="8" s="1"/>
  <c r="Q24" i="8"/>
  <c r="Q64" i="8" s="1"/>
  <c r="Q89" i="8" s="1"/>
  <c r="R24" i="8"/>
  <c r="R64" i="8" s="1"/>
  <c r="R89" i="8" s="1"/>
  <c r="S24" i="8"/>
  <c r="S64" i="8" s="1"/>
  <c r="S89" i="8" s="1"/>
  <c r="T24" i="8"/>
  <c r="T64" i="8" s="1"/>
  <c r="T89" i="8" s="1"/>
  <c r="U24" i="8"/>
  <c r="U64" i="8" s="1"/>
  <c r="U89" i="8" s="1"/>
  <c r="V24" i="8"/>
  <c r="V64" i="8" s="1"/>
  <c r="V89" i="8" s="1"/>
  <c r="W24" i="8"/>
  <c r="W64" i="8" s="1"/>
  <c r="W89" i="8" s="1"/>
  <c r="X24" i="8"/>
  <c r="X64" i="8" s="1"/>
  <c r="X89" i="8" s="1"/>
  <c r="O25" i="8"/>
  <c r="O65" i="8" s="1"/>
  <c r="P25" i="8"/>
  <c r="P65" i="8" s="1"/>
  <c r="Q25" i="8"/>
  <c r="Q65" i="8" s="1"/>
  <c r="R25" i="8"/>
  <c r="R65" i="8" s="1"/>
  <c r="S25" i="8"/>
  <c r="S65" i="8" s="1"/>
  <c r="T25" i="8"/>
  <c r="T65" i="8" s="1"/>
  <c r="U25" i="8"/>
  <c r="U65" i="8" s="1"/>
  <c r="V25" i="8"/>
  <c r="V65" i="8" s="1"/>
  <c r="W25" i="8"/>
  <c r="W65" i="8" s="1"/>
  <c r="X25" i="8"/>
  <c r="X65" i="8" s="1"/>
  <c r="O28" i="8"/>
  <c r="P28" i="8"/>
  <c r="Q28" i="8"/>
  <c r="R28" i="8"/>
  <c r="S28" i="8"/>
  <c r="T28" i="8"/>
  <c r="U28" i="8"/>
  <c r="V28" i="8"/>
  <c r="W28" i="8"/>
  <c r="X28" i="8"/>
  <c r="O29" i="8"/>
  <c r="O71" i="8" s="1"/>
  <c r="P29" i="8"/>
  <c r="P71" i="8" s="1"/>
  <c r="Q29" i="8"/>
  <c r="Q71" i="8" s="1"/>
  <c r="R29" i="8"/>
  <c r="R71" i="8" s="1"/>
  <c r="S29" i="8"/>
  <c r="S71" i="8" s="1"/>
  <c r="T29" i="8"/>
  <c r="T71" i="8" s="1"/>
  <c r="U29" i="8"/>
  <c r="U71" i="8" s="1"/>
  <c r="V29" i="8"/>
  <c r="V71" i="8" s="1"/>
  <c r="W29" i="8"/>
  <c r="W71" i="8" s="1"/>
  <c r="X29" i="8"/>
  <c r="X71" i="8" s="1"/>
  <c r="N28" i="8"/>
  <c r="N29" i="8"/>
  <c r="N71" i="8" s="1"/>
  <c r="N5" i="8"/>
  <c r="N6" i="8"/>
  <c r="N7" i="8"/>
  <c r="N8" i="8"/>
  <c r="N9" i="8"/>
  <c r="N10" i="8"/>
  <c r="N11" i="8"/>
  <c r="N12" i="8"/>
  <c r="N38" i="8" s="1"/>
  <c r="N13" i="8"/>
  <c r="N40" i="8" s="1"/>
  <c r="N14" i="8"/>
  <c r="N39" i="8" s="1"/>
  <c r="N15" i="8"/>
  <c r="N16" i="8"/>
  <c r="N17" i="8"/>
  <c r="N44" i="8" s="1"/>
  <c r="N18" i="8"/>
  <c r="N43" i="8" s="1"/>
  <c r="N19" i="8"/>
  <c r="N20" i="8"/>
  <c r="N21" i="8"/>
  <c r="N22" i="8"/>
  <c r="N23" i="8"/>
  <c r="N24" i="8"/>
  <c r="N64" i="8" s="1"/>
  <c r="N89" i="8" s="1"/>
  <c r="N25" i="8"/>
  <c r="N65" i="8" s="1"/>
  <c r="N4" i="8"/>
  <c r="B4" i="8"/>
  <c r="B33" i="8" s="1"/>
  <c r="C4" i="8"/>
  <c r="D4" i="8"/>
  <c r="E4" i="8"/>
  <c r="F4" i="8"/>
  <c r="G4" i="8"/>
  <c r="H4" i="8"/>
  <c r="I4" i="8"/>
  <c r="J4" i="8"/>
  <c r="K4" i="8"/>
  <c r="L4" i="8"/>
  <c r="M4" i="8"/>
  <c r="B5" i="8"/>
  <c r="B35" i="8" s="1"/>
  <c r="C5" i="8"/>
  <c r="D5" i="8"/>
  <c r="E5" i="8"/>
  <c r="F5" i="8"/>
  <c r="G5" i="8"/>
  <c r="H5" i="8"/>
  <c r="I5" i="8"/>
  <c r="J5" i="8"/>
  <c r="K5" i="8"/>
  <c r="L5" i="8"/>
  <c r="M5" i="8"/>
  <c r="B6" i="8"/>
  <c r="B34" i="8" s="1"/>
  <c r="C6" i="8"/>
  <c r="D6" i="8"/>
  <c r="E6" i="8"/>
  <c r="F6" i="8"/>
  <c r="G6" i="8"/>
  <c r="H6" i="8"/>
  <c r="I6" i="8"/>
  <c r="J6" i="8"/>
  <c r="K6" i="8"/>
  <c r="L6" i="8"/>
  <c r="M6" i="8"/>
  <c r="B7" i="8"/>
  <c r="C7" i="8"/>
  <c r="D7" i="8"/>
  <c r="E7" i="8"/>
  <c r="F7" i="8"/>
  <c r="G7" i="8"/>
  <c r="H7" i="8"/>
  <c r="I7" i="8"/>
  <c r="J7" i="8"/>
  <c r="K7" i="8"/>
  <c r="L7" i="8"/>
  <c r="M7" i="8"/>
  <c r="B8" i="8"/>
  <c r="C8" i="8"/>
  <c r="D8" i="8"/>
  <c r="E8" i="8"/>
  <c r="F8" i="8"/>
  <c r="G8" i="8"/>
  <c r="H8" i="8"/>
  <c r="I8" i="8"/>
  <c r="J8" i="8"/>
  <c r="K8" i="8"/>
  <c r="L8" i="8"/>
  <c r="M8" i="8"/>
  <c r="B9" i="8"/>
  <c r="C9" i="8"/>
  <c r="D9" i="8"/>
  <c r="E9" i="8"/>
  <c r="F9" i="8"/>
  <c r="G9" i="8"/>
  <c r="H9" i="8"/>
  <c r="I9" i="8"/>
  <c r="J9" i="8"/>
  <c r="K9" i="8"/>
  <c r="L9" i="8"/>
  <c r="M9" i="8"/>
  <c r="B10" i="8"/>
  <c r="C10" i="8"/>
  <c r="D10" i="8"/>
  <c r="E10" i="8"/>
  <c r="F10" i="8"/>
  <c r="G10" i="8"/>
  <c r="H10" i="8"/>
  <c r="I10" i="8"/>
  <c r="J10" i="8"/>
  <c r="K10" i="8"/>
  <c r="L10" i="8"/>
  <c r="M10" i="8"/>
  <c r="B11" i="8"/>
  <c r="C11" i="8"/>
  <c r="D11" i="8"/>
  <c r="E11" i="8"/>
  <c r="F11" i="8"/>
  <c r="G11" i="8"/>
  <c r="H11" i="8"/>
  <c r="I11" i="8"/>
  <c r="J11" i="8"/>
  <c r="K11" i="8"/>
  <c r="L11" i="8"/>
  <c r="M11" i="8"/>
  <c r="B12" i="8"/>
  <c r="B38" i="8" s="1"/>
  <c r="C12" i="8"/>
  <c r="C38" i="8" s="1"/>
  <c r="D12" i="8"/>
  <c r="D38" i="8" s="1"/>
  <c r="E12" i="8"/>
  <c r="E38" i="8" s="1"/>
  <c r="F12" i="8"/>
  <c r="F38" i="8" s="1"/>
  <c r="G12" i="8"/>
  <c r="G38" i="8" s="1"/>
  <c r="H12" i="8"/>
  <c r="H38" i="8" s="1"/>
  <c r="I12" i="8"/>
  <c r="I38" i="8" s="1"/>
  <c r="J12" i="8"/>
  <c r="J38" i="8" s="1"/>
  <c r="K12" i="8"/>
  <c r="K38" i="8" s="1"/>
  <c r="L12" i="8"/>
  <c r="L38" i="8" s="1"/>
  <c r="M12" i="8"/>
  <c r="M38" i="8" s="1"/>
  <c r="B13" i="8"/>
  <c r="B40" i="8" s="1"/>
  <c r="C13" i="8"/>
  <c r="C40" i="8" s="1"/>
  <c r="D13" i="8"/>
  <c r="D40" i="8" s="1"/>
  <c r="E13" i="8"/>
  <c r="E40" i="8" s="1"/>
  <c r="F13" i="8"/>
  <c r="F40" i="8" s="1"/>
  <c r="G13" i="8"/>
  <c r="G40" i="8" s="1"/>
  <c r="H13" i="8"/>
  <c r="H40" i="8" s="1"/>
  <c r="I13" i="8"/>
  <c r="I40" i="8" s="1"/>
  <c r="J13" i="8"/>
  <c r="J40" i="8" s="1"/>
  <c r="K13" i="8"/>
  <c r="K40" i="8" s="1"/>
  <c r="L13" i="8"/>
  <c r="L40" i="8" s="1"/>
  <c r="M13" i="8"/>
  <c r="M40" i="8" s="1"/>
  <c r="B14" i="8"/>
  <c r="B39" i="8" s="1"/>
  <c r="C14" i="8"/>
  <c r="C39" i="8" s="1"/>
  <c r="D14" i="8"/>
  <c r="D39" i="8" s="1"/>
  <c r="E14" i="8"/>
  <c r="E39" i="8" s="1"/>
  <c r="F14" i="8"/>
  <c r="F39" i="8" s="1"/>
  <c r="G14" i="8"/>
  <c r="G39" i="8" s="1"/>
  <c r="H14" i="8"/>
  <c r="H39" i="8" s="1"/>
  <c r="I14" i="8"/>
  <c r="I39" i="8" s="1"/>
  <c r="J14" i="8"/>
  <c r="J39" i="8" s="1"/>
  <c r="K14" i="8"/>
  <c r="K39" i="8" s="1"/>
  <c r="L14" i="8"/>
  <c r="L39" i="8" s="1"/>
  <c r="M14" i="8"/>
  <c r="M39" i="8" s="1"/>
  <c r="B15" i="8"/>
  <c r="C15" i="8"/>
  <c r="D15" i="8"/>
  <c r="E15" i="8"/>
  <c r="F15" i="8"/>
  <c r="G15" i="8"/>
  <c r="H15" i="8"/>
  <c r="I15" i="8"/>
  <c r="J15" i="8"/>
  <c r="K15" i="8"/>
  <c r="L15" i="8"/>
  <c r="M15" i="8"/>
  <c r="B16" i="8"/>
  <c r="C16" i="8"/>
  <c r="D16" i="8"/>
  <c r="E16" i="8"/>
  <c r="F16" i="8"/>
  <c r="G16" i="8"/>
  <c r="H16" i="8"/>
  <c r="I16" i="8"/>
  <c r="J16" i="8"/>
  <c r="K16" i="8"/>
  <c r="L16" i="8"/>
  <c r="M16" i="8"/>
  <c r="B17" i="8"/>
  <c r="B44" i="8" s="1"/>
  <c r="C17" i="8"/>
  <c r="C44" i="8" s="1"/>
  <c r="D17" i="8"/>
  <c r="D44" i="8" s="1"/>
  <c r="E17" i="8"/>
  <c r="E44" i="8" s="1"/>
  <c r="F17" i="8"/>
  <c r="F44" i="8" s="1"/>
  <c r="G17" i="8"/>
  <c r="G44" i="8" s="1"/>
  <c r="H17" i="8"/>
  <c r="H44" i="8" s="1"/>
  <c r="I17" i="8"/>
  <c r="I44" i="8" s="1"/>
  <c r="J17" i="8"/>
  <c r="J44" i="8" s="1"/>
  <c r="K17" i="8"/>
  <c r="K44" i="8" s="1"/>
  <c r="L17" i="8"/>
  <c r="L44" i="8" s="1"/>
  <c r="M17" i="8"/>
  <c r="M44" i="8" s="1"/>
  <c r="B18" i="8"/>
  <c r="B43" i="8" s="1"/>
  <c r="C18" i="8"/>
  <c r="C43" i="8" s="1"/>
  <c r="D18" i="8"/>
  <c r="D43" i="8" s="1"/>
  <c r="E18" i="8"/>
  <c r="E43" i="8" s="1"/>
  <c r="F18" i="8"/>
  <c r="F43" i="8" s="1"/>
  <c r="G18" i="8"/>
  <c r="G43" i="8" s="1"/>
  <c r="H18" i="8"/>
  <c r="H43" i="8" s="1"/>
  <c r="I18" i="8"/>
  <c r="I43" i="8" s="1"/>
  <c r="J18" i="8"/>
  <c r="J43" i="8" s="1"/>
  <c r="K18" i="8"/>
  <c r="K43" i="8" s="1"/>
  <c r="L18" i="8"/>
  <c r="L43" i="8" s="1"/>
  <c r="M18" i="8"/>
  <c r="M43" i="8" s="1"/>
  <c r="B19" i="8"/>
  <c r="C19" i="8"/>
  <c r="D19" i="8"/>
  <c r="E19" i="8"/>
  <c r="F19" i="8"/>
  <c r="G19" i="8"/>
  <c r="H19" i="8"/>
  <c r="I19" i="8"/>
  <c r="J19" i="8"/>
  <c r="K19" i="8"/>
  <c r="L19" i="8"/>
  <c r="M19" i="8"/>
  <c r="B20" i="8"/>
  <c r="C20" i="8"/>
  <c r="D20" i="8"/>
  <c r="E20" i="8"/>
  <c r="F20" i="8"/>
  <c r="G20" i="8"/>
  <c r="H20" i="8"/>
  <c r="I20" i="8"/>
  <c r="J20" i="8"/>
  <c r="K20" i="8"/>
  <c r="L20" i="8"/>
  <c r="M20" i="8"/>
  <c r="B21" i="8"/>
  <c r="C21" i="8"/>
  <c r="D21" i="8"/>
  <c r="E21" i="8"/>
  <c r="F21" i="8"/>
  <c r="G21" i="8"/>
  <c r="H21" i="8"/>
  <c r="I21" i="8"/>
  <c r="J21" i="8"/>
  <c r="K21" i="8"/>
  <c r="L21" i="8"/>
  <c r="M21" i="8"/>
  <c r="B22" i="8"/>
  <c r="C22" i="8"/>
  <c r="D22" i="8"/>
  <c r="E22" i="8"/>
  <c r="F22" i="8"/>
  <c r="G22" i="8"/>
  <c r="H22" i="8"/>
  <c r="I22" i="8"/>
  <c r="J22" i="8"/>
  <c r="K22" i="8"/>
  <c r="L22" i="8"/>
  <c r="M22" i="8"/>
  <c r="B23" i="8"/>
  <c r="C23" i="8"/>
  <c r="D23" i="8"/>
  <c r="E23" i="8"/>
  <c r="F23" i="8"/>
  <c r="G23" i="8"/>
  <c r="H23" i="8"/>
  <c r="I23" i="8"/>
  <c r="J23" i="8"/>
  <c r="K23" i="8"/>
  <c r="L23" i="8"/>
  <c r="M23" i="8"/>
  <c r="B24" i="8"/>
  <c r="B64" i="8" s="1"/>
  <c r="B89" i="8" s="1"/>
  <c r="C24" i="8"/>
  <c r="C64" i="8" s="1"/>
  <c r="C89" i="8" s="1"/>
  <c r="D24" i="8"/>
  <c r="D64" i="8" s="1"/>
  <c r="D89" i="8" s="1"/>
  <c r="E24" i="8"/>
  <c r="E64" i="8" s="1"/>
  <c r="E89" i="8" s="1"/>
  <c r="F24" i="8"/>
  <c r="F64" i="8" s="1"/>
  <c r="F89" i="8" s="1"/>
  <c r="G24" i="8"/>
  <c r="G64" i="8" s="1"/>
  <c r="G89" i="8" s="1"/>
  <c r="H24" i="8"/>
  <c r="H64" i="8" s="1"/>
  <c r="H89" i="8" s="1"/>
  <c r="I24" i="8"/>
  <c r="I64" i="8" s="1"/>
  <c r="I89" i="8" s="1"/>
  <c r="J24" i="8"/>
  <c r="J64" i="8" s="1"/>
  <c r="J89" i="8" s="1"/>
  <c r="K24" i="8"/>
  <c r="K64" i="8" s="1"/>
  <c r="K89" i="8" s="1"/>
  <c r="L24" i="8"/>
  <c r="L64" i="8" s="1"/>
  <c r="L89" i="8" s="1"/>
  <c r="M24" i="8"/>
  <c r="M64" i="8" s="1"/>
  <c r="M89" i="8" s="1"/>
  <c r="B25" i="8"/>
  <c r="B65" i="8" s="1"/>
  <c r="C25" i="8"/>
  <c r="C65" i="8" s="1"/>
  <c r="D25" i="8"/>
  <c r="D65" i="8" s="1"/>
  <c r="E25" i="8"/>
  <c r="E65" i="8" s="1"/>
  <c r="F25" i="8"/>
  <c r="F65" i="8" s="1"/>
  <c r="G25" i="8"/>
  <c r="G65" i="8" s="1"/>
  <c r="H25" i="8"/>
  <c r="H65" i="8" s="1"/>
  <c r="I25" i="8"/>
  <c r="I65" i="8" s="1"/>
  <c r="J25" i="8"/>
  <c r="J65" i="8" s="1"/>
  <c r="K25" i="8"/>
  <c r="K65" i="8" s="1"/>
  <c r="L25" i="8"/>
  <c r="L65" i="8" s="1"/>
  <c r="M25" i="8"/>
  <c r="M65" i="8" s="1"/>
  <c r="B28" i="8"/>
  <c r="C28" i="8"/>
  <c r="D28" i="8"/>
  <c r="E28" i="8"/>
  <c r="F28" i="8"/>
  <c r="G28" i="8"/>
  <c r="H28" i="8"/>
  <c r="I28" i="8"/>
  <c r="J28" i="8"/>
  <c r="K28" i="8"/>
  <c r="L28" i="8"/>
  <c r="M28" i="8"/>
  <c r="B29" i="8"/>
  <c r="B71" i="8" s="1"/>
  <c r="C29" i="8"/>
  <c r="C71" i="8" s="1"/>
  <c r="D29" i="8"/>
  <c r="D71" i="8" s="1"/>
  <c r="E29" i="8"/>
  <c r="E71" i="8" s="1"/>
  <c r="F29" i="8"/>
  <c r="F71" i="8" s="1"/>
  <c r="G29" i="8"/>
  <c r="G71" i="8" s="1"/>
  <c r="H29" i="8"/>
  <c r="H71" i="8" s="1"/>
  <c r="I29" i="8"/>
  <c r="I71" i="8" s="1"/>
  <c r="J29" i="8"/>
  <c r="J71" i="8" s="1"/>
  <c r="K29" i="8"/>
  <c r="K71" i="8" s="1"/>
  <c r="L29" i="8"/>
  <c r="L71" i="8" s="1"/>
  <c r="M29" i="8"/>
  <c r="M71" i="8" s="1"/>
  <c r="A27" i="8"/>
  <c r="A28" i="8"/>
  <c r="A29" i="8"/>
  <c r="A30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5" i="8"/>
  <c r="A6" i="8"/>
  <c r="A7" i="8"/>
  <c r="A8" i="8"/>
  <c r="A9" i="8"/>
  <c r="A10" i="8"/>
  <c r="A11" i="8"/>
  <c r="A12" i="8"/>
  <c r="A13" i="8"/>
  <c r="A4" i="8"/>
  <c r="AM53" i="8"/>
  <c r="D67" i="8"/>
  <c r="M67" i="8"/>
  <c r="AN42" i="8"/>
  <c r="B41" i="8"/>
  <c r="U53" i="8"/>
  <c r="M53" i="8"/>
  <c r="D68" i="8"/>
  <c r="E73" i="8"/>
  <c r="AV67" i="8"/>
  <c r="AA73" i="8"/>
  <c r="AC53" i="8"/>
  <c r="AL45" i="8"/>
  <c r="H73" i="8"/>
  <c r="AA41" i="8"/>
  <c r="X68" i="8"/>
  <c r="X74" i="8"/>
  <c r="AG53" i="8"/>
  <c r="W73" i="8"/>
  <c r="P74" i="8"/>
  <c r="Z73" i="8"/>
  <c r="S73" i="8"/>
  <c r="AE67" i="8"/>
  <c r="Z53" i="8"/>
  <c r="W42" i="8"/>
  <c r="H67" i="8"/>
  <c r="Z45" i="8"/>
  <c r="AR45" i="8"/>
  <c r="C68" i="8"/>
  <c r="N53" i="8"/>
  <c r="L74" i="8"/>
  <c r="J42" i="8"/>
  <c r="AN41" i="8"/>
  <c r="C73" i="8"/>
  <c r="L53" i="8"/>
  <c r="I68" i="8"/>
  <c r="AQ68" i="8"/>
  <c r="AE73" i="8"/>
  <c r="AC73" i="8"/>
  <c r="X42" i="8"/>
  <c r="AS68" i="8"/>
  <c r="H68" i="8"/>
  <c r="P67" i="8"/>
  <c r="O73" i="8"/>
  <c r="AD53" i="8"/>
  <c r="AD45" i="8"/>
  <c r="W74" i="8"/>
  <c r="T53" i="8"/>
  <c r="Q42" i="8"/>
  <c r="M68" i="8"/>
  <c r="B53" i="8"/>
  <c r="AM42" i="8"/>
  <c r="AG45" i="8"/>
  <c r="Y67" i="8"/>
  <c r="AB53" i="8"/>
  <c r="AM67" i="8"/>
  <c r="AU53" i="8"/>
  <c r="AM41" i="8"/>
  <c r="W67" i="8"/>
  <c r="AD42" i="8"/>
  <c r="AE68" i="8"/>
  <c r="Y74" i="8"/>
  <c r="AS45" i="8"/>
  <c r="AR73" i="8"/>
  <c r="U68" i="8"/>
  <c r="I74" i="8"/>
  <c r="AP74" i="8"/>
  <c r="I53" i="8"/>
  <c r="L42" i="8"/>
  <c r="M73" i="8"/>
  <c r="AT42" i="8"/>
  <c r="W68" i="8"/>
  <c r="AJ53" i="8"/>
  <c r="Q53" i="8"/>
  <c r="Q45" i="8"/>
  <c r="AU68" i="8"/>
  <c r="AH68" i="8"/>
  <c r="AM45" i="8"/>
  <c r="L73" i="8"/>
  <c r="AR68" i="8"/>
  <c r="W45" i="8"/>
  <c r="AQ45" i="8"/>
  <c r="Y45" i="8"/>
  <c r="AI73" i="8"/>
  <c r="S45" i="8"/>
  <c r="AN67" i="8"/>
  <c r="J53" i="8"/>
  <c r="U73" i="8"/>
  <c r="AG68" i="8"/>
  <c r="D53" i="8"/>
  <c r="Q74" i="8"/>
  <c r="V67" i="8"/>
  <c r="U42" i="8"/>
  <c r="J41" i="8"/>
  <c r="AP67" i="8"/>
  <c r="F45" i="8"/>
  <c r="E74" i="8"/>
  <c r="U74" i="8"/>
  <c r="O42" i="8"/>
  <c r="R74" i="8"/>
  <c r="F53" i="8"/>
  <c r="AI74" i="8"/>
  <c r="AP42" i="8"/>
  <c r="N41" i="8"/>
  <c r="J74" i="8"/>
  <c r="P68" i="8"/>
  <c r="S42" i="8"/>
  <c r="E67" i="8"/>
  <c r="AJ45" i="8"/>
  <c r="N42" i="8"/>
  <c r="J73" i="8"/>
  <c r="Y68" i="8"/>
  <c r="B42" i="8"/>
  <c r="J67" i="8"/>
  <c r="AC68" i="8"/>
  <c r="Z42" i="8"/>
  <c r="F68" i="8"/>
  <c r="AG74" i="8"/>
  <c r="AJ42" i="8"/>
  <c r="AA53" i="8"/>
  <c r="L68" i="8"/>
  <c r="H41" i="8"/>
  <c r="AH45" i="8"/>
  <c r="B67" i="8"/>
  <c r="AN68" i="8"/>
  <c r="AH74" i="8"/>
  <c r="AN45" i="8"/>
  <c r="AO68" i="8"/>
  <c r="T74" i="8"/>
  <c r="J68" i="8"/>
  <c r="E42" i="8"/>
  <c r="C42" i="8"/>
  <c r="AT45" i="8"/>
  <c r="AK74" i="8"/>
  <c r="AF74" i="8"/>
  <c r="D74" i="8"/>
  <c r="Y42" i="8"/>
  <c r="F41" i="8"/>
  <c r="X67" i="8"/>
  <c r="AJ73" i="8"/>
  <c r="AL68" i="8"/>
  <c r="AS41" i="8"/>
  <c r="AA68" i="8"/>
  <c r="AN73" i="8"/>
  <c r="AD67" i="8"/>
  <c r="AT53" i="8"/>
  <c r="AH67" i="8"/>
  <c r="Z67" i="8"/>
  <c r="AA67" i="8"/>
  <c r="M45" i="8"/>
  <c r="E41" i="8"/>
  <c r="AH53" i="8"/>
  <c r="AR53" i="8"/>
  <c r="AU42" i="8"/>
  <c r="AV45" i="8"/>
  <c r="AV68" i="8"/>
  <c r="AT74" i="8"/>
  <c r="AL53" i="8"/>
  <c r="AO42" i="8"/>
  <c r="AP45" i="8"/>
  <c r="AP68" i="8"/>
  <c r="AK53" i="8"/>
  <c r="AB41" i="8"/>
  <c r="AA45" i="8"/>
  <c r="AJ41" i="8"/>
  <c r="AF45" i="8"/>
  <c r="AI45" i="8"/>
  <c r="AF67" i="8"/>
  <c r="AE41" i="8"/>
  <c r="V53" i="8"/>
  <c r="T42" i="8"/>
  <c r="V45" i="8"/>
  <c r="V68" i="8"/>
  <c r="R73" i="8"/>
  <c r="N74" i="8"/>
  <c r="G53" i="8"/>
  <c r="G45" i="8"/>
  <c r="G68" i="8"/>
  <c r="G74" i="8"/>
  <c r="K68" i="8"/>
  <c r="AT67" i="8"/>
  <c r="AQ67" i="8"/>
  <c r="AU74" i="8"/>
  <c r="AT68" i="8"/>
  <c r="AP73" i="8"/>
  <c r="S74" i="8"/>
  <c r="AO67" i="8"/>
  <c r="AD68" i="8"/>
  <c r="AO74" i="8"/>
  <c r="T67" i="8"/>
  <c r="AC74" i="8"/>
  <c r="B68" i="8"/>
  <c r="L45" i="8"/>
  <c r="AN74" i="8"/>
  <c r="AO73" i="8"/>
  <c r="AK73" i="8"/>
  <c r="AL74" i="8"/>
  <c r="AS42" i="8"/>
  <c r="I41" i="8"/>
  <c r="AC45" i="8"/>
  <c r="Z41" i="8"/>
  <c r="AA42" i="8"/>
  <c r="I67" i="8"/>
  <c r="N45" i="8"/>
  <c r="B74" i="8"/>
  <c r="O74" i="8"/>
  <c r="P73" i="8"/>
  <c r="AT73" i="8"/>
  <c r="AQ74" i="8"/>
  <c r="N68" i="8"/>
  <c r="C45" i="8"/>
  <c r="H74" i="8"/>
  <c r="U67" i="8"/>
  <c r="T73" i="8"/>
  <c r="AD73" i="8"/>
  <c r="AC41" i="8"/>
  <c r="AD74" i="8"/>
  <c r="T41" i="8"/>
  <c r="F74" i="8"/>
  <c r="K74" i="8"/>
  <c r="AR41" i="8"/>
  <c r="AU67" i="8"/>
  <c r="Y73" i="8"/>
  <c r="Y41" i="8"/>
  <c r="F42" i="8"/>
  <c r="I45" i="8"/>
  <c r="E68" i="8"/>
  <c r="AF73" i="8"/>
  <c r="S68" i="8"/>
  <c r="O41" i="8"/>
  <c r="AI68" i="8"/>
  <c r="J45" i="8"/>
  <c r="AS73" i="8"/>
  <c r="AB73" i="8"/>
  <c r="I42" i="8"/>
  <c r="O45" i="8"/>
  <c r="O53" i="8"/>
  <c r="AG42" i="8"/>
  <c r="AH42" i="8"/>
  <c r="U41" i="8"/>
  <c r="AI67" i="8"/>
  <c r="F73" i="8"/>
  <c r="O68" i="8"/>
  <c r="AG41" i="8"/>
  <c r="AH41" i="8"/>
  <c r="U45" i="8"/>
  <c r="AL73" i="8"/>
  <c r="AE42" i="8"/>
  <c r="C53" i="8"/>
  <c r="L41" i="8"/>
  <c r="E45" i="8"/>
  <c r="Z74" i="8"/>
  <c r="B45" i="8"/>
  <c r="AS74" i="8"/>
  <c r="AS67" i="8"/>
  <c r="AR74" i="8"/>
  <c r="F67" i="8"/>
  <c r="I73" i="8"/>
  <c r="W41" i="8"/>
  <c r="AV73" i="8"/>
  <c r="S41" i="8"/>
  <c r="X73" i="8"/>
  <c r="AB42" i="8"/>
  <c r="AQ73" i="8"/>
  <c r="AV74" i="8"/>
  <c r="AS53" i="8"/>
  <c r="S67" i="8"/>
  <c r="T45" i="8"/>
  <c r="AC42" i="8"/>
  <c r="AO41" i="8"/>
  <c r="Q73" i="8"/>
  <c r="W53" i="8"/>
  <c r="Q68" i="8"/>
  <c r="T68" i="8"/>
  <c r="L67" i="8"/>
  <c r="AC67" i="8"/>
  <c r="AB74" i="8"/>
  <c r="N67" i="8"/>
  <c r="AT41" i="8"/>
  <c r="AV42" i="8"/>
  <c r="AU45" i="8"/>
  <c r="AR67" i="8"/>
  <c r="AQ42" i="8"/>
  <c r="AP41" i="8"/>
  <c r="AO45" i="8"/>
  <c r="AL67" i="8"/>
  <c r="AM73" i="8"/>
  <c r="AK45" i="8"/>
  <c r="AK67" i="8"/>
  <c r="AB45" i="8"/>
  <c r="AB67" i="8"/>
  <c r="AF53" i="8"/>
  <c r="AI53" i="8"/>
  <c r="AJ68" i="8"/>
  <c r="AH73" i="8"/>
  <c r="AE45" i="8"/>
  <c r="R42" i="8"/>
  <c r="P42" i="8"/>
  <c r="X41" i="8"/>
  <c r="R45" i="8"/>
  <c r="P45" i="8"/>
  <c r="X45" i="8"/>
  <c r="R67" i="8"/>
  <c r="V74" i="8"/>
  <c r="C41" i="8"/>
  <c r="K53" i="8"/>
  <c r="K45" i="8"/>
  <c r="C67" i="8"/>
  <c r="K67" i="8"/>
  <c r="C74" i="8"/>
  <c r="K73" i="8"/>
  <c r="E53" i="8"/>
  <c r="D41" i="8"/>
  <c r="M42" i="8"/>
  <c r="O67" i="8"/>
  <c r="AM68" i="8"/>
  <c r="B73" i="8"/>
  <c r="AN53" i="8"/>
  <c r="D42" i="8"/>
  <c r="M41" i="8"/>
  <c r="H45" i="8"/>
  <c r="Q67" i="8"/>
  <c r="AU73" i="8"/>
  <c r="H53" i="8"/>
  <c r="AG67" i="8"/>
  <c r="H42" i="8"/>
  <c r="AD41" i="8"/>
  <c r="D45" i="8"/>
  <c r="Q41" i="8"/>
  <c r="AE74" i="8"/>
  <c r="AJ74" i="8"/>
  <c r="G42" i="8"/>
  <c r="AG73" i="8"/>
  <c r="Z68" i="8"/>
  <c r="S53" i="8"/>
  <c r="D73" i="8"/>
  <c r="M74" i="8"/>
  <c r="Y53" i="8"/>
  <c r="AA74" i="8"/>
  <c r="H80" i="8" l="1"/>
  <c r="M48" i="8"/>
  <c r="L48" i="8"/>
  <c r="AH48" i="8"/>
  <c r="F48" i="8"/>
  <c r="S48" i="8"/>
  <c r="AJ48" i="8"/>
  <c r="AB48" i="8"/>
  <c r="AL48" i="8"/>
  <c r="AR48" i="8"/>
  <c r="Z48" i="8"/>
  <c r="K48" i="8"/>
  <c r="C48" i="8"/>
  <c r="N48" i="8"/>
  <c r="AG48" i="8"/>
  <c r="J48" i="8"/>
  <c r="B48" i="8"/>
  <c r="W48" i="8"/>
  <c r="O48" i="8"/>
  <c r="AF48" i="8"/>
  <c r="AK48" i="8"/>
  <c r="AI48" i="8"/>
  <c r="AA48" i="8"/>
  <c r="Q48" i="8"/>
  <c r="I48" i="8"/>
  <c r="V48" i="8"/>
  <c r="AU48" i="8"/>
  <c r="H48" i="8"/>
  <c r="U48" i="8"/>
  <c r="Y48" i="8"/>
  <c r="AD48" i="8"/>
  <c r="AN48" i="8"/>
  <c r="AT48" i="8"/>
  <c r="E48" i="8"/>
  <c r="D48" i="8"/>
  <c r="G48" i="8"/>
  <c r="T48" i="8"/>
  <c r="AC48" i="8"/>
  <c r="AM48" i="8"/>
  <c r="AS48" i="8"/>
  <c r="Q69" i="8"/>
  <c r="AG75" i="8"/>
  <c r="AI69" i="8"/>
  <c r="AB75" i="8"/>
  <c r="AA69" i="8"/>
  <c r="AL75" i="8"/>
  <c r="I75" i="8"/>
  <c r="I69" i="8"/>
  <c r="T75" i="8"/>
  <c r="X69" i="8"/>
  <c r="P69" i="8"/>
  <c r="AF75" i="8"/>
  <c r="AH69" i="8"/>
  <c r="Y69" i="8"/>
  <c r="Z69" i="8"/>
  <c r="AV75" i="8"/>
  <c r="Z75" i="8"/>
  <c r="R75" i="8"/>
  <c r="V69" i="8"/>
  <c r="AP69" i="8"/>
  <c r="AT75" i="8"/>
  <c r="AV69" i="8"/>
  <c r="U75" i="8"/>
  <c r="F75" i="8"/>
  <c r="F69" i="8"/>
  <c r="Q75" i="8"/>
  <c r="U69" i="8"/>
  <c r="AK75" i="8"/>
  <c r="AP75" i="8"/>
  <c r="AO69" i="8"/>
  <c r="AQ69" i="8"/>
  <c r="AS75" i="8"/>
  <c r="J75" i="8"/>
  <c r="H69" i="8"/>
  <c r="M75" i="8"/>
  <c r="E75" i="8"/>
  <c r="M69" i="8"/>
  <c r="E69" i="8"/>
  <c r="X75" i="8"/>
  <c r="P75" i="8"/>
  <c r="T69" i="8"/>
  <c r="AJ75" i="8"/>
  <c r="AD69" i="8"/>
  <c r="AO75" i="8"/>
  <c r="AN69" i="8"/>
  <c r="AR75" i="8"/>
  <c r="AT69" i="8"/>
  <c r="J69" i="8"/>
  <c r="H75" i="8"/>
  <c r="AG69" i="8"/>
  <c r="L75" i="8"/>
  <c r="D75" i="8"/>
  <c r="L69" i="8"/>
  <c r="D69" i="8"/>
  <c r="N69" i="8"/>
  <c r="W75" i="8"/>
  <c r="O75" i="8"/>
  <c r="S69" i="8"/>
  <c r="AE75" i="8"/>
  <c r="Y75" i="8"/>
  <c r="AD75" i="8"/>
  <c r="AC69" i="8"/>
  <c r="AN75" i="8"/>
  <c r="AS69" i="8"/>
  <c r="K69" i="8"/>
  <c r="C69" i="8"/>
  <c r="AH75" i="8"/>
  <c r="AC75" i="8"/>
  <c r="AL69" i="8"/>
  <c r="AR69" i="8"/>
  <c r="B78" i="8"/>
  <c r="AU69" i="8"/>
  <c r="AU75" i="8"/>
  <c r="AI75" i="8"/>
  <c r="O69" i="8"/>
  <c r="AQ75" i="8"/>
  <c r="W69" i="8"/>
  <c r="AE69" i="8"/>
  <c r="AM69" i="8"/>
  <c r="C75" i="8"/>
  <c r="K75" i="8"/>
  <c r="S75" i="8"/>
  <c r="AA75" i="8"/>
  <c r="B75" i="8"/>
  <c r="B69" i="8"/>
  <c r="B58" i="8"/>
  <c r="H37" i="7"/>
  <c r="AQ3" i="7"/>
  <c r="AQ4" i="7" s="1"/>
  <c r="AR3" i="7"/>
  <c r="AR4" i="7" s="1"/>
  <c r="AS3" i="7"/>
  <c r="AS4" i="7" s="1"/>
  <c r="AT3" i="7"/>
  <c r="AT4" i="7" s="1"/>
  <c r="AU3" i="7"/>
  <c r="AU4" i="7" s="1"/>
  <c r="AQ5" i="7"/>
  <c r="AR5" i="7"/>
  <c r="AS5" i="7"/>
  <c r="AT5" i="7"/>
  <c r="AU5" i="7"/>
  <c r="AQ6" i="7"/>
  <c r="AR6" i="7"/>
  <c r="AS6" i="7"/>
  <c r="AT6" i="7"/>
  <c r="AU6" i="7"/>
  <c r="AP6" i="7"/>
  <c r="AP5" i="7"/>
  <c r="AP3" i="7"/>
  <c r="AP4" i="7" s="1"/>
  <c r="AK3" i="7"/>
  <c r="AK4" i="7" s="1"/>
  <c r="AL3" i="7"/>
  <c r="AL4" i="7" s="1"/>
  <c r="AM3" i="7"/>
  <c r="AM4" i="7" s="1"/>
  <c r="AN3" i="7"/>
  <c r="AN4" i="7" s="1"/>
  <c r="AO3" i="7"/>
  <c r="AO4" i="7" s="1"/>
  <c r="AK5" i="7"/>
  <c r="AL5" i="7"/>
  <c r="AM5" i="7"/>
  <c r="AN5" i="7"/>
  <c r="AO5" i="7"/>
  <c r="AK6" i="7"/>
  <c r="AL6" i="7"/>
  <c r="AM6" i="7"/>
  <c r="AN6" i="7"/>
  <c r="AO6" i="7"/>
  <c r="AJ6" i="7"/>
  <c r="AJ5" i="7"/>
  <c r="AJ3" i="7"/>
  <c r="AJ4" i="7" s="1"/>
  <c r="AE3" i="7"/>
  <c r="AE4" i="7" s="1"/>
  <c r="AF3" i="7"/>
  <c r="AF4" i="7" s="1"/>
  <c r="AG3" i="7"/>
  <c r="AG4" i="7" s="1"/>
  <c r="AH3" i="7"/>
  <c r="AH4" i="7" s="1"/>
  <c r="AI3" i="7"/>
  <c r="AI4" i="7" s="1"/>
  <c r="AD3" i="7"/>
  <c r="AD4" i="7" s="1"/>
  <c r="AE5" i="7"/>
  <c r="AF5" i="7"/>
  <c r="AG5" i="7"/>
  <c r="AH5" i="7"/>
  <c r="AI5" i="7"/>
  <c r="AE6" i="7"/>
  <c r="AF6" i="7"/>
  <c r="AG6" i="7"/>
  <c r="AH6" i="7"/>
  <c r="AI6" i="7"/>
  <c r="AD6" i="7"/>
  <c r="AD5" i="7"/>
  <c r="Y3" i="7"/>
  <c r="Y4" i="7" s="1"/>
  <c r="Z3" i="7"/>
  <c r="Z4" i="7" s="1"/>
  <c r="AA3" i="7"/>
  <c r="AA4" i="7" s="1"/>
  <c r="AB3" i="7"/>
  <c r="AB4" i="7" s="1"/>
  <c r="AC3" i="7"/>
  <c r="AC4" i="7" s="1"/>
  <c r="Y5" i="7"/>
  <c r="Z5" i="7"/>
  <c r="AA5" i="7"/>
  <c r="AB5" i="7"/>
  <c r="AC5" i="7"/>
  <c r="Y6" i="7"/>
  <c r="Z6" i="7"/>
  <c r="AA6" i="7"/>
  <c r="AB6" i="7"/>
  <c r="AC6" i="7"/>
  <c r="X6" i="7"/>
  <c r="X5" i="7"/>
  <c r="X3" i="7"/>
  <c r="X4" i="7" s="1"/>
  <c r="M6" i="7"/>
  <c r="N6" i="7"/>
  <c r="O6" i="7"/>
  <c r="P6" i="7"/>
  <c r="Q6" i="7"/>
  <c r="R6" i="7"/>
  <c r="S6" i="7"/>
  <c r="T6" i="7"/>
  <c r="U6" i="7"/>
  <c r="V6" i="7"/>
  <c r="W6" i="7"/>
  <c r="L6" i="7"/>
  <c r="B6" i="7"/>
  <c r="C6" i="7"/>
  <c r="D6" i="7"/>
  <c r="E6" i="7"/>
  <c r="F6" i="7"/>
  <c r="G6" i="7"/>
  <c r="H6" i="7"/>
  <c r="I6" i="7"/>
  <c r="J6" i="7"/>
  <c r="K6" i="7"/>
  <c r="A6" i="7"/>
  <c r="M5" i="7"/>
  <c r="N5" i="7"/>
  <c r="O5" i="7"/>
  <c r="P5" i="7"/>
  <c r="Q5" i="7"/>
  <c r="R5" i="7"/>
  <c r="S5" i="7"/>
  <c r="T5" i="7"/>
  <c r="U5" i="7"/>
  <c r="V5" i="7"/>
  <c r="W5" i="7"/>
  <c r="L5" i="7"/>
  <c r="B5" i="7"/>
  <c r="C5" i="7"/>
  <c r="D5" i="7"/>
  <c r="E5" i="7"/>
  <c r="F5" i="7"/>
  <c r="G5" i="7"/>
  <c r="H5" i="7"/>
  <c r="I5" i="7"/>
  <c r="J5" i="7"/>
  <c r="K5" i="7"/>
  <c r="A5" i="7"/>
  <c r="M3" i="7"/>
  <c r="M4" i="7" s="1"/>
  <c r="N3" i="7"/>
  <c r="N4" i="7" s="1"/>
  <c r="O3" i="7"/>
  <c r="O4" i="7" s="1"/>
  <c r="P3" i="7"/>
  <c r="P4" i="7" s="1"/>
  <c r="Q3" i="7"/>
  <c r="Q4" i="7" s="1"/>
  <c r="R3" i="7"/>
  <c r="R4" i="7" s="1"/>
  <c r="S3" i="7"/>
  <c r="S4" i="7" s="1"/>
  <c r="T3" i="7"/>
  <c r="T4" i="7" s="1"/>
  <c r="U3" i="7"/>
  <c r="U4" i="7" s="1"/>
  <c r="V3" i="7"/>
  <c r="V4" i="7" s="1"/>
  <c r="W3" i="7"/>
  <c r="W4" i="7" s="1"/>
  <c r="L3" i="7"/>
  <c r="L4" i="7" s="1"/>
  <c r="B3" i="7"/>
  <c r="B4" i="7" s="1"/>
  <c r="C3" i="7"/>
  <c r="C4" i="7" s="1"/>
  <c r="D3" i="7"/>
  <c r="D4" i="7" s="1"/>
  <c r="E3" i="7"/>
  <c r="E4" i="7" s="1"/>
  <c r="F3" i="7"/>
  <c r="F4" i="7" s="1"/>
  <c r="G3" i="7"/>
  <c r="G4" i="7" s="1"/>
  <c r="H3" i="7"/>
  <c r="H4" i="7" s="1"/>
  <c r="I3" i="7"/>
  <c r="I4" i="7" s="1"/>
  <c r="J3" i="7"/>
  <c r="J4" i="7" s="1"/>
  <c r="K3" i="7"/>
  <c r="K4" i="7" s="1"/>
  <c r="A3" i="7"/>
  <c r="A4" i="7" s="1"/>
  <c r="R41" i="8"/>
  <c r="P53" i="8"/>
  <c r="V41" i="8"/>
  <c r="AK42" i="8"/>
  <c r="P41" i="8"/>
  <c r="E46" i="8"/>
  <c r="T93" i="8"/>
  <c r="F70" i="8"/>
  <c r="Z93" i="8"/>
  <c r="Y54" i="8"/>
  <c r="G54" i="8"/>
  <c r="J93" i="8"/>
  <c r="Z54" i="8"/>
  <c r="AB46" i="8"/>
  <c r="AM46" i="8"/>
  <c r="M46" i="8"/>
  <c r="AV93" i="8"/>
  <c r="F54" i="8"/>
  <c r="K54" i="8"/>
  <c r="Z46" i="8"/>
  <c r="I54" i="8"/>
  <c r="AN93" i="8"/>
  <c r="AG93" i="8"/>
  <c r="X54" i="8"/>
  <c r="P54" i="8"/>
  <c r="D70" i="8"/>
  <c r="T54" i="8"/>
  <c r="AA70" i="8"/>
  <c r="AL42" i="8"/>
  <c r="G73" i="8"/>
  <c r="AJ67" i="8"/>
  <c r="V73" i="8"/>
  <c r="AQ41" i="8"/>
  <c r="AL93" i="8"/>
  <c r="L54" i="8"/>
  <c r="AV70" i="8"/>
  <c r="AO46" i="8"/>
  <c r="AF54" i="8"/>
  <c r="AH70" i="8"/>
  <c r="X93" i="8"/>
  <c r="AP54" i="8"/>
  <c r="AA93" i="8"/>
  <c r="S54" i="8"/>
  <c r="Q46" i="8"/>
  <c r="E93" i="8"/>
  <c r="AD54" i="8"/>
  <c r="AQ54" i="8"/>
  <c r="AE46" i="8"/>
  <c r="O54" i="8"/>
  <c r="J54" i="8"/>
  <c r="T46" i="8"/>
  <c r="AG54" i="8"/>
  <c r="AL70" i="8"/>
  <c r="AR70" i="8"/>
  <c r="AT46" i="8"/>
  <c r="AB68" i="8"/>
  <c r="K41" i="8"/>
  <c r="AF68" i="8"/>
  <c r="AK41" i="8"/>
  <c r="G41" i="8"/>
  <c r="F93" i="8"/>
  <c r="C54" i="8"/>
  <c r="I93" i="8"/>
  <c r="M54" i="8"/>
  <c r="AD93" i="8"/>
  <c r="AK93" i="8"/>
  <c r="E54" i="8"/>
  <c r="AO93" i="8"/>
  <c r="AB54" i="8"/>
  <c r="K93" i="8"/>
  <c r="AN46" i="8"/>
  <c r="AT70" i="8"/>
  <c r="K70" i="8"/>
  <c r="AA46" i="8"/>
  <c r="U54" i="8"/>
  <c r="T70" i="8"/>
  <c r="W93" i="8"/>
  <c r="AO54" i="8"/>
  <c r="AG70" i="8"/>
  <c r="AC70" i="8"/>
  <c r="D46" i="8"/>
  <c r="AA54" i="8"/>
  <c r="AV53" i="8"/>
  <c r="AE53" i="8"/>
  <c r="K42" i="8"/>
  <c r="AK68" i="8"/>
  <c r="AQ53" i="8"/>
  <c r="AI70" i="8"/>
  <c r="P70" i="8"/>
  <c r="J70" i="8"/>
  <c r="AS70" i="8"/>
  <c r="AB93" i="8"/>
  <c r="B54" i="8"/>
  <c r="I46" i="8"/>
  <c r="AI93" i="8"/>
  <c r="N70" i="8"/>
  <c r="J46" i="8"/>
  <c r="P46" i="8"/>
  <c r="AI54" i="8"/>
  <c r="D93" i="8"/>
  <c r="I70" i="8"/>
  <c r="P93" i="8"/>
  <c r="AM93" i="8"/>
  <c r="AN54" i="8"/>
  <c r="AS46" i="8"/>
  <c r="AT54" i="8"/>
  <c r="C70" i="8"/>
  <c r="E70" i="8"/>
  <c r="R54" i="8"/>
  <c r="W46" i="8"/>
  <c r="B46" i="8"/>
  <c r="AV41" i="8"/>
  <c r="AF41" i="8"/>
  <c r="AM74" i="8"/>
  <c r="AI41" i="8"/>
  <c r="G67" i="8"/>
  <c r="AH54" i="8"/>
  <c r="U46" i="8"/>
  <c r="AH46" i="8"/>
  <c r="Q70" i="8"/>
  <c r="O46" i="8"/>
  <c r="AT93" i="8"/>
  <c r="L70" i="8"/>
  <c r="R46" i="8"/>
  <c r="H54" i="8"/>
  <c r="X46" i="8"/>
  <c r="AC54" i="8"/>
  <c r="AQ70" i="8"/>
  <c r="C46" i="8"/>
  <c r="AP93" i="8"/>
  <c r="AN70" i="8"/>
  <c r="AU93" i="8"/>
  <c r="M93" i="8"/>
  <c r="H70" i="8"/>
  <c r="Y46" i="8"/>
  <c r="C93" i="8"/>
  <c r="N73" i="8"/>
  <c r="R53" i="8"/>
  <c r="AF42" i="8"/>
  <c r="V42" i="8"/>
  <c r="Q93" i="8"/>
  <c r="V54" i="8"/>
  <c r="AQ46" i="8"/>
  <c r="D54" i="8"/>
  <c r="AO70" i="8"/>
  <c r="B93" i="8"/>
  <c r="N54" i="8"/>
  <c r="L93" i="8"/>
  <c r="AD46" i="8"/>
  <c r="AV54" i="8"/>
  <c r="L46" i="8"/>
  <c r="AK54" i="8"/>
  <c r="X70" i="8"/>
  <c r="AG46" i="8"/>
  <c r="H93" i="8"/>
  <c r="V93" i="8"/>
  <c r="AV46" i="8"/>
  <c r="H46" i="8"/>
  <c r="AS54" i="8"/>
  <c r="R68" i="8"/>
  <c r="AR42" i="8"/>
  <c r="AL41" i="8"/>
  <c r="AP53" i="8"/>
  <c r="B70" i="8"/>
  <c r="AJ54" i="8"/>
  <c r="AM54" i="8"/>
  <c r="X53" i="8"/>
  <c r="AO53" i="8"/>
  <c r="AI42" i="8"/>
  <c r="AU41" i="8"/>
  <c r="Z70" i="8"/>
  <c r="AP70" i="8"/>
  <c r="F46" i="8"/>
  <c r="S46" i="8"/>
  <c r="M70" i="8"/>
  <c r="U93" i="8"/>
  <c r="Q54" i="8"/>
  <c r="R93" i="8"/>
  <c r="AJ46" i="8"/>
  <c r="AE54" i="8"/>
  <c r="S93" i="8"/>
  <c r="Y93" i="8"/>
  <c r="AH93" i="8"/>
  <c r="W54" i="8"/>
  <c r="N46" i="8"/>
  <c r="AC93" i="8"/>
  <c r="AL54" i="8"/>
  <c r="AC46" i="8"/>
  <c r="AS93" i="8"/>
  <c r="AR54" i="8"/>
  <c r="AP46" i="8"/>
  <c r="S70" i="8"/>
  <c r="V70" i="8"/>
  <c r="AU54" i="8"/>
  <c r="AU46" i="8"/>
  <c r="G46" i="8"/>
  <c r="AD70" i="8"/>
  <c r="U70" i="8"/>
  <c r="Y70" i="8"/>
  <c r="AO48" i="8" l="1"/>
  <c r="X48" i="8"/>
  <c r="AP48" i="8"/>
  <c r="R69" i="8"/>
  <c r="R48" i="8"/>
  <c r="N75" i="8"/>
  <c r="G69" i="8"/>
  <c r="AM75" i="8"/>
  <c r="AQ48" i="8"/>
  <c r="AK69" i="8"/>
  <c r="AE48" i="8"/>
  <c r="AV48" i="8"/>
  <c r="AF69" i="8"/>
  <c r="AB69" i="8"/>
  <c r="V75" i="8"/>
  <c r="AJ69" i="8"/>
  <c r="G75" i="8"/>
  <c r="P48" i="8"/>
  <c r="I80" i="8"/>
  <c r="P55" i="8"/>
  <c r="P49" i="8" s="1"/>
  <c r="AP47" i="8"/>
  <c r="B47" i="8"/>
  <c r="AT55" i="8"/>
  <c r="AT49" i="8" s="1"/>
  <c r="AO55" i="8"/>
  <c r="AO49" i="8" s="1"/>
  <c r="AG55" i="8"/>
  <c r="AG49" i="8" s="1"/>
  <c r="X55" i="8"/>
  <c r="X49" i="8" s="1"/>
  <c r="AR55" i="8"/>
  <c r="AR49" i="8" s="1"/>
  <c r="AS55" i="8"/>
  <c r="AS49" i="8" s="1"/>
  <c r="AS47" i="8"/>
  <c r="T47" i="8"/>
  <c r="G47" i="8"/>
  <c r="J55" i="8"/>
  <c r="J49" i="8" s="1"/>
  <c r="AC47" i="8"/>
  <c r="AN55" i="8"/>
  <c r="AN49" i="8" s="1"/>
  <c r="U55" i="8"/>
  <c r="U49" i="8" s="1"/>
  <c r="O55" i="8"/>
  <c r="O49" i="8" s="1"/>
  <c r="I55" i="8"/>
  <c r="I49" i="8" s="1"/>
  <c r="BR49" i="8" s="1"/>
  <c r="BR50" i="8" s="1"/>
  <c r="AL55" i="8"/>
  <c r="AL49" i="8" s="1"/>
  <c r="AM55" i="8"/>
  <c r="AM49" i="8" s="1"/>
  <c r="AG47" i="8"/>
  <c r="AA47" i="8"/>
  <c r="AE47" i="8"/>
  <c r="Z47" i="8"/>
  <c r="AT47" i="8"/>
  <c r="C47" i="8"/>
  <c r="AQ55" i="8"/>
  <c r="AQ49" i="8" s="1"/>
  <c r="K55" i="8"/>
  <c r="K49" i="8" s="1"/>
  <c r="N47" i="8"/>
  <c r="W47" i="8"/>
  <c r="AD55" i="8"/>
  <c r="AD49" i="8" s="1"/>
  <c r="F55" i="8"/>
  <c r="F49" i="8" s="1"/>
  <c r="W55" i="8"/>
  <c r="W49" i="8" s="1"/>
  <c r="AA55" i="8"/>
  <c r="AA49" i="8" s="1"/>
  <c r="AA50" i="8" s="1"/>
  <c r="AK55" i="8"/>
  <c r="AK49" i="8" s="1"/>
  <c r="AC55" i="8"/>
  <c r="AC49" i="8" s="1"/>
  <c r="AN47" i="8"/>
  <c r="H47" i="8"/>
  <c r="L47" i="8"/>
  <c r="X47" i="8"/>
  <c r="Q47" i="8"/>
  <c r="M47" i="8"/>
  <c r="T55" i="8"/>
  <c r="T49" i="8" s="1"/>
  <c r="AV55" i="8"/>
  <c r="AV49" i="8" s="1"/>
  <c r="H55" i="8"/>
  <c r="H49" i="8" s="1"/>
  <c r="AI55" i="8"/>
  <c r="AI49" i="8" s="1"/>
  <c r="AI50" i="8" s="1"/>
  <c r="AB55" i="8"/>
  <c r="AB49" i="8" s="1"/>
  <c r="S55" i="8"/>
  <c r="S49" i="8" s="1"/>
  <c r="AM47" i="8"/>
  <c r="AU47" i="8"/>
  <c r="AD47" i="8"/>
  <c r="R47" i="8"/>
  <c r="AB47" i="8"/>
  <c r="E55" i="8"/>
  <c r="E49" i="8" s="1"/>
  <c r="AP55" i="8"/>
  <c r="AP49" i="8" s="1"/>
  <c r="AP50" i="8" s="1"/>
  <c r="Z55" i="8"/>
  <c r="Z49" i="8" s="1"/>
  <c r="AE55" i="8"/>
  <c r="AE49" i="8" s="1"/>
  <c r="AJ55" i="8"/>
  <c r="AJ49" i="8" s="1"/>
  <c r="CE49" i="8" s="1"/>
  <c r="CE50" i="8" s="1"/>
  <c r="N55" i="8"/>
  <c r="N49" i="8" s="1"/>
  <c r="P47" i="8"/>
  <c r="AJ47" i="8"/>
  <c r="O47" i="8"/>
  <c r="J47" i="8"/>
  <c r="G55" i="8"/>
  <c r="G49" i="8" s="1"/>
  <c r="M55" i="8"/>
  <c r="M49" i="8" s="1"/>
  <c r="AF55" i="8"/>
  <c r="AF49" i="8" s="1"/>
  <c r="Y55" i="8"/>
  <c r="Y49" i="8" s="1"/>
  <c r="Q55" i="8"/>
  <c r="Q49" i="8" s="1"/>
  <c r="R55" i="8"/>
  <c r="R49" i="8" s="1"/>
  <c r="D55" i="8"/>
  <c r="D49" i="8" s="1"/>
  <c r="D50" i="8" s="1"/>
  <c r="AH47" i="8"/>
  <c r="AO47" i="8"/>
  <c r="AV47" i="8"/>
  <c r="AQ47" i="8"/>
  <c r="U47" i="8"/>
  <c r="I47" i="8"/>
  <c r="I51" i="8" s="1"/>
  <c r="AU55" i="8"/>
  <c r="AU49" i="8" s="1"/>
  <c r="AU50" i="8" s="1"/>
  <c r="V55" i="8"/>
  <c r="V49" i="8" s="1"/>
  <c r="V50" i="8" s="1"/>
  <c r="AH55" i="8"/>
  <c r="AH49" i="8" s="1"/>
  <c r="AH50" i="8" s="1"/>
  <c r="B55" i="8"/>
  <c r="B49" i="8" s="1"/>
  <c r="C55" i="8"/>
  <c r="C49" i="8" s="1"/>
  <c r="L55" i="8"/>
  <c r="L49" i="8" s="1"/>
  <c r="S47" i="8"/>
  <c r="S51" i="8" s="1"/>
  <c r="BN51" i="8" s="1"/>
  <c r="D47" i="8"/>
  <c r="E47" i="8"/>
  <c r="F47" i="8"/>
  <c r="Y47" i="8"/>
  <c r="CD49" i="8"/>
  <c r="CD50" i="8" s="1"/>
  <c r="BK49" i="8"/>
  <c r="BK50" i="8" s="1"/>
  <c r="BS49" i="8"/>
  <c r="BS50" i="8" s="1"/>
  <c r="CO49" i="8"/>
  <c r="CO50" i="8" s="1"/>
  <c r="BM49" i="8"/>
  <c r="BM50" i="8" s="1"/>
  <c r="CQ49" i="8"/>
  <c r="CQ50" i="8" s="1"/>
  <c r="Q50" i="8"/>
  <c r="AB50" i="8"/>
  <c r="U50" i="8"/>
  <c r="N50" i="8"/>
  <c r="AM50" i="8"/>
  <c r="I40" i="2"/>
  <c r="J40" i="2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C69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C68" i="5"/>
  <c r="W67" i="5"/>
  <c r="X67" i="5"/>
  <c r="Y67" i="5"/>
  <c r="Z67" i="5"/>
  <c r="O67" i="5"/>
  <c r="P67" i="5"/>
  <c r="Q67" i="5"/>
  <c r="R67" i="5"/>
  <c r="S67" i="5"/>
  <c r="T67" i="5"/>
  <c r="U67" i="5"/>
  <c r="V67" i="5"/>
  <c r="D67" i="5"/>
  <c r="E67" i="5"/>
  <c r="F67" i="5"/>
  <c r="G67" i="5"/>
  <c r="H67" i="5"/>
  <c r="I67" i="5"/>
  <c r="J67" i="5"/>
  <c r="K67" i="5"/>
  <c r="L67" i="5"/>
  <c r="M67" i="5"/>
  <c r="N67" i="5"/>
  <c r="C67" i="5"/>
  <c r="AI46" i="8"/>
  <c r="AL46" i="8"/>
  <c r="AI76" i="8"/>
  <c r="C76" i="8"/>
  <c r="P76" i="8"/>
  <c r="N76" i="8"/>
  <c r="AV86" i="8"/>
  <c r="AS76" i="8"/>
  <c r="AK46" i="8"/>
  <c r="AR76" i="8"/>
  <c r="G93" i="8"/>
  <c r="AF70" i="8"/>
  <c r="AV76" i="8"/>
  <c r="X76" i="8"/>
  <c r="AL76" i="8"/>
  <c r="N86" i="8"/>
  <c r="AA76" i="8"/>
  <c r="AO76" i="8"/>
  <c r="D76" i="8"/>
  <c r="K76" i="8"/>
  <c r="B76" i="8"/>
  <c r="AB70" i="8"/>
  <c r="AE70" i="8"/>
  <c r="S76" i="8"/>
  <c r="AQ86" i="8"/>
  <c r="G70" i="8"/>
  <c r="H76" i="8"/>
  <c r="AG76" i="8"/>
  <c r="F76" i="8"/>
  <c r="Q76" i="8"/>
  <c r="AN76" i="8"/>
  <c r="AQ76" i="8"/>
  <c r="AR46" i="8"/>
  <c r="Z76" i="8"/>
  <c r="J76" i="8"/>
  <c r="AP76" i="8"/>
  <c r="U76" i="8"/>
  <c r="E76" i="8"/>
  <c r="AD76" i="8"/>
  <c r="AM70" i="8"/>
  <c r="M76" i="8"/>
  <c r="V76" i="8"/>
  <c r="AC76" i="8"/>
  <c r="R70" i="8"/>
  <c r="AJ70" i="8"/>
  <c r="Y76" i="8"/>
  <c r="O70" i="8"/>
  <c r="L76" i="8"/>
  <c r="AU70" i="8"/>
  <c r="AT76" i="8"/>
  <c r="V46" i="8"/>
  <c r="AK70" i="8"/>
  <c r="AJ93" i="8"/>
  <c r="W70" i="8"/>
  <c r="P86" i="8"/>
  <c r="AR86" i="8"/>
  <c r="I76" i="8"/>
  <c r="T76" i="8"/>
  <c r="AH76" i="8"/>
  <c r="AF46" i="8"/>
  <c r="K46" i="8"/>
  <c r="R50" i="8" l="1"/>
  <c r="B50" i="8"/>
  <c r="AK50" i="8"/>
  <c r="I50" i="8"/>
  <c r="AC50" i="8"/>
  <c r="G50" i="8"/>
  <c r="CN49" i="8"/>
  <c r="CN50" i="8" s="1"/>
  <c r="T50" i="8"/>
  <c r="AL50" i="8"/>
  <c r="CM49" i="8"/>
  <c r="CM50" i="8" s="1"/>
  <c r="M50" i="8"/>
  <c r="W50" i="8"/>
  <c r="BL49" i="8"/>
  <c r="BL50" i="8" s="1"/>
  <c r="BI49" i="8"/>
  <c r="BI50" i="8" s="1"/>
  <c r="Z50" i="8"/>
  <c r="S50" i="8"/>
  <c r="K47" i="8"/>
  <c r="AF47" i="8"/>
  <c r="V47" i="8"/>
  <c r="AR47" i="8"/>
  <c r="B82" i="8"/>
  <c r="AK47" i="8"/>
  <c r="AK51" i="8" s="1"/>
  <c r="AL47" i="8"/>
  <c r="AL51" i="8" s="1"/>
  <c r="AI47" i="8"/>
  <c r="AI51" i="8" s="1"/>
  <c r="CD51" i="8" s="1"/>
  <c r="E50" i="8"/>
  <c r="F50" i="8"/>
  <c r="O50" i="8"/>
  <c r="CL49" i="8"/>
  <c r="CL50" i="8" s="1"/>
  <c r="L50" i="8"/>
  <c r="AD50" i="8"/>
  <c r="BN49" i="8"/>
  <c r="BN50" i="8" s="1"/>
  <c r="BP49" i="8"/>
  <c r="BP50" i="8" s="1"/>
  <c r="C50" i="8"/>
  <c r="Y50" i="8"/>
  <c r="H50" i="8"/>
  <c r="P50" i="8"/>
  <c r="AF50" i="8"/>
  <c r="AV50" i="8"/>
  <c r="K50" i="8"/>
  <c r="J50" i="8"/>
  <c r="AG50" i="8"/>
  <c r="CP49" i="8"/>
  <c r="CP50" i="8" s="1"/>
  <c r="BQ49" i="8"/>
  <c r="BQ50" i="8" s="1"/>
  <c r="AE50" i="8"/>
  <c r="AQ50" i="8"/>
  <c r="Y51" i="8"/>
  <c r="AJ50" i="8"/>
  <c r="K51" i="8"/>
  <c r="AO50" i="8"/>
  <c r="AH51" i="8"/>
  <c r="CC51" i="8" s="1"/>
  <c r="AT50" i="8"/>
  <c r="CC49" i="8"/>
  <c r="CC50" i="8" s="1"/>
  <c r="V51" i="8"/>
  <c r="BQ51" i="8" s="1"/>
  <c r="CB49" i="8"/>
  <c r="CB50" i="8" s="1"/>
  <c r="BO49" i="8"/>
  <c r="BO50" i="8" s="1"/>
  <c r="AN50" i="8"/>
  <c r="AR50" i="8"/>
  <c r="BJ49" i="8"/>
  <c r="BJ50" i="8" s="1"/>
  <c r="X50" i="8"/>
  <c r="J80" i="8"/>
  <c r="AV96" i="8"/>
  <c r="B86" i="8"/>
  <c r="B84" i="8" s="1"/>
  <c r="B77" i="8"/>
  <c r="B99" i="8" s="1"/>
  <c r="P96" i="8"/>
  <c r="AO51" i="8"/>
  <c r="H51" i="8"/>
  <c r="AE51" i="8"/>
  <c r="R51" i="8"/>
  <c r="BM51" i="8" s="1"/>
  <c r="AN51" i="8"/>
  <c r="AA51" i="8"/>
  <c r="AC51" i="8"/>
  <c r="AD51" i="8"/>
  <c r="AU51" i="8"/>
  <c r="CP51" i="8" s="1"/>
  <c r="M51" i="8"/>
  <c r="G51" i="8"/>
  <c r="J51" i="8"/>
  <c r="AM51" i="8"/>
  <c r="Q51" i="8"/>
  <c r="BL51" i="8" s="1"/>
  <c r="C51" i="8"/>
  <c r="T51" i="8"/>
  <c r="BO51" i="8" s="1"/>
  <c r="U51" i="8"/>
  <c r="BP51" i="8" s="1"/>
  <c r="AR51" i="8"/>
  <c r="CM51" i="8" s="1"/>
  <c r="AS51" i="8"/>
  <c r="CN51" i="8" s="1"/>
  <c r="B51" i="8"/>
  <c r="AQ51" i="8"/>
  <c r="CL51" i="8" s="1"/>
  <c r="X51" i="8"/>
  <c r="BS51" i="8" s="1"/>
  <c r="AF51" i="8"/>
  <c r="AP51" i="8"/>
  <c r="AV51" i="8"/>
  <c r="CQ51" i="8" s="1"/>
  <c r="AJ51" i="8"/>
  <c r="CE51" i="8" s="1"/>
  <c r="AB51" i="8"/>
  <c r="L51" i="8"/>
  <c r="Z51" i="8"/>
  <c r="AS50" i="8"/>
  <c r="AS86" i="8"/>
  <c r="AS82" i="8"/>
  <c r="AS77" i="8"/>
  <c r="AS99" i="8" s="1"/>
  <c r="AV77" i="8"/>
  <c r="AV99" i="8" s="1"/>
  <c r="AV82" i="8"/>
  <c r="AV84" i="8"/>
  <c r="AV81" i="8" s="1"/>
  <c r="AT86" i="8"/>
  <c r="AT77" i="8"/>
  <c r="AT99" i="8" s="1"/>
  <c r="AT82" i="8"/>
  <c r="AI86" i="8"/>
  <c r="AI77" i="8"/>
  <c r="AI99" i="8" s="1"/>
  <c r="AI82" i="8"/>
  <c r="I86" i="8"/>
  <c r="I77" i="8"/>
  <c r="I99" i="8" s="1"/>
  <c r="I82" i="8"/>
  <c r="AQ82" i="8"/>
  <c r="AQ77" i="8"/>
  <c r="P82" i="8"/>
  <c r="P77" i="8"/>
  <c r="P99" i="8" s="1"/>
  <c r="AP86" i="8"/>
  <c r="AP82" i="8"/>
  <c r="AP77" i="8"/>
  <c r="AP99" i="8" s="1"/>
  <c r="P84" i="8"/>
  <c r="P81" i="8" s="1"/>
  <c r="K86" i="8"/>
  <c r="K82" i="8"/>
  <c r="K77" i="8"/>
  <c r="K99" i="8" s="1"/>
  <c r="D86" i="8"/>
  <c r="D82" i="8"/>
  <c r="D77" i="8"/>
  <c r="D99" i="8" s="1"/>
  <c r="L86" i="8"/>
  <c r="L82" i="8"/>
  <c r="L77" i="8"/>
  <c r="L99" i="8" s="1"/>
  <c r="AN86" i="8"/>
  <c r="AN82" i="8"/>
  <c r="AN77" i="8"/>
  <c r="AN99" i="8" s="1"/>
  <c r="AC86" i="8"/>
  <c r="AC82" i="8"/>
  <c r="AC77" i="8"/>
  <c r="AC99" i="8" s="1"/>
  <c r="N77" i="8"/>
  <c r="N82" i="8"/>
  <c r="AH86" i="8"/>
  <c r="AH82" i="8"/>
  <c r="AH77" i="8"/>
  <c r="AH99" i="8" s="1"/>
  <c r="AQ84" i="8"/>
  <c r="AQ81" i="8" s="1"/>
  <c r="Q86" i="8"/>
  <c r="Q82" i="8"/>
  <c r="Q77" i="8"/>
  <c r="Q99" i="8" s="1"/>
  <c r="M86" i="8"/>
  <c r="M77" i="8"/>
  <c r="M99" i="8" s="1"/>
  <c r="M82" i="8"/>
  <c r="V86" i="8"/>
  <c r="V82" i="8"/>
  <c r="V77" i="8"/>
  <c r="V99" i="8" s="1"/>
  <c r="X86" i="8"/>
  <c r="X82" i="8"/>
  <c r="X77" i="8"/>
  <c r="X99" i="8" s="1"/>
  <c r="J86" i="8"/>
  <c r="J82" i="8"/>
  <c r="J77" i="8"/>
  <c r="J99" i="8" s="1"/>
  <c r="Y86" i="8"/>
  <c r="Y77" i="8"/>
  <c r="Y99" i="8" s="1"/>
  <c r="Y82" i="8"/>
  <c r="AG86" i="8"/>
  <c r="AG77" i="8"/>
  <c r="AG99" i="8" s="1"/>
  <c r="AG82" i="8"/>
  <c r="AD86" i="8"/>
  <c r="AD77" i="8"/>
  <c r="AD99" i="8" s="1"/>
  <c r="AD82" i="8"/>
  <c r="E86" i="8"/>
  <c r="E82" i="8"/>
  <c r="E77" i="8"/>
  <c r="E99" i="8" s="1"/>
  <c r="AO86" i="8"/>
  <c r="AO77" i="8"/>
  <c r="AO99" i="8" s="1"/>
  <c r="AO82" i="8"/>
  <c r="T86" i="8"/>
  <c r="T82" i="8"/>
  <c r="T77" i="8"/>
  <c r="T99" i="8" s="1"/>
  <c r="S86" i="8"/>
  <c r="S77" i="8"/>
  <c r="S99" i="8" s="1"/>
  <c r="S82" i="8"/>
  <c r="Z86" i="8"/>
  <c r="Z77" i="8"/>
  <c r="Z99" i="8" s="1"/>
  <c r="Z82" i="8"/>
  <c r="AA86" i="8"/>
  <c r="AA82" i="8"/>
  <c r="AA77" i="8"/>
  <c r="AA99" i="8" s="1"/>
  <c r="H86" i="8"/>
  <c r="H77" i="8"/>
  <c r="H99" i="8" s="1"/>
  <c r="H82" i="8"/>
  <c r="U86" i="8"/>
  <c r="U82" i="8"/>
  <c r="U77" i="8"/>
  <c r="U99" i="8" s="1"/>
  <c r="AR84" i="8"/>
  <c r="AR81" i="8" s="1"/>
  <c r="C86" i="8"/>
  <c r="C77" i="8"/>
  <c r="C99" i="8" s="1"/>
  <c r="C82" i="8"/>
  <c r="AR82" i="8"/>
  <c r="AR77" i="8"/>
  <c r="N84" i="8"/>
  <c r="N81" i="8" s="1"/>
  <c r="AL86" i="8"/>
  <c r="AL77" i="8"/>
  <c r="AL99" i="8" s="1"/>
  <c r="AL82" i="8"/>
  <c r="F86" i="8"/>
  <c r="F77" i="8"/>
  <c r="F99" i="8" s="1"/>
  <c r="F82" i="8"/>
  <c r="B61" i="5"/>
  <c r="B62" i="5"/>
  <c r="C56" i="5"/>
  <c r="O56" i="5"/>
  <c r="O57" i="5"/>
  <c r="V57" i="5"/>
  <c r="W57" i="5"/>
  <c r="X54" i="5"/>
  <c r="Y54" i="5"/>
  <c r="Z54" i="5"/>
  <c r="P54" i="5"/>
  <c r="Q54" i="5"/>
  <c r="R54" i="5"/>
  <c r="S54" i="5"/>
  <c r="T54" i="5"/>
  <c r="U54" i="5"/>
  <c r="V54" i="5"/>
  <c r="W54" i="5"/>
  <c r="O54" i="5"/>
  <c r="Z30" i="5"/>
  <c r="Z57" i="5" s="1"/>
  <c r="Y30" i="5"/>
  <c r="Y57" i="5" s="1"/>
  <c r="X30" i="5"/>
  <c r="X57" i="5" s="1"/>
  <c r="W30" i="5"/>
  <c r="V30" i="5"/>
  <c r="U30" i="5"/>
  <c r="U57" i="5" s="1"/>
  <c r="T30" i="5"/>
  <c r="T57" i="5" s="1"/>
  <c r="S30" i="5"/>
  <c r="S57" i="5" s="1"/>
  <c r="R30" i="5"/>
  <c r="R57" i="5" s="1"/>
  <c r="Q30" i="5"/>
  <c r="Q57" i="5" s="1"/>
  <c r="P30" i="5"/>
  <c r="P57" i="5" s="1"/>
  <c r="O30" i="5"/>
  <c r="Z26" i="5"/>
  <c r="Z56" i="5" s="1"/>
  <c r="Y26" i="5"/>
  <c r="Y56" i="5" s="1"/>
  <c r="X26" i="5"/>
  <c r="X56" i="5" s="1"/>
  <c r="W26" i="5"/>
  <c r="W56" i="5" s="1"/>
  <c r="V26" i="5"/>
  <c r="V56" i="5" s="1"/>
  <c r="U26" i="5"/>
  <c r="U56" i="5" s="1"/>
  <c r="T26" i="5"/>
  <c r="T56" i="5" s="1"/>
  <c r="S26" i="5"/>
  <c r="S56" i="5" s="1"/>
  <c r="R26" i="5"/>
  <c r="R56" i="5" s="1"/>
  <c r="Q26" i="5"/>
  <c r="Q56" i="5" s="1"/>
  <c r="P26" i="5"/>
  <c r="P56" i="5" s="1"/>
  <c r="O26" i="5"/>
  <c r="N30" i="5"/>
  <c r="N57" i="5" s="1"/>
  <c r="M30" i="5"/>
  <c r="M57" i="5" s="1"/>
  <c r="L30" i="5"/>
  <c r="L57" i="5" s="1"/>
  <c r="K30" i="5"/>
  <c r="K57" i="5" s="1"/>
  <c r="J30" i="5"/>
  <c r="J57" i="5" s="1"/>
  <c r="I30" i="5"/>
  <c r="I57" i="5" s="1"/>
  <c r="N26" i="5"/>
  <c r="N56" i="5" s="1"/>
  <c r="M26" i="5"/>
  <c r="M56" i="5" s="1"/>
  <c r="L26" i="5"/>
  <c r="L56" i="5" s="1"/>
  <c r="K26" i="5"/>
  <c r="K56" i="5" s="1"/>
  <c r="J26" i="5"/>
  <c r="J56" i="5" s="1"/>
  <c r="I26" i="5"/>
  <c r="I56" i="5" s="1"/>
  <c r="I54" i="5"/>
  <c r="J54" i="5"/>
  <c r="K54" i="5"/>
  <c r="L54" i="5"/>
  <c r="M54" i="5"/>
  <c r="N54" i="5"/>
  <c r="D54" i="5"/>
  <c r="E54" i="5"/>
  <c r="F54" i="5"/>
  <c r="G54" i="5"/>
  <c r="H54" i="5"/>
  <c r="C54" i="5"/>
  <c r="I44" i="5"/>
  <c r="P44" i="5"/>
  <c r="T44" i="5"/>
  <c r="L47" i="5"/>
  <c r="D94" i="8"/>
  <c r="X34" i="5"/>
  <c r="L39" i="5"/>
  <c r="U41" i="5"/>
  <c r="U36" i="5"/>
  <c r="O76" i="8"/>
  <c r="O50" i="5"/>
  <c r="Y44" i="5"/>
  <c r="W32" i="5"/>
  <c r="AA94" i="8"/>
  <c r="I41" i="5"/>
  <c r="R47" i="5"/>
  <c r="U34" i="5"/>
  <c r="V41" i="5"/>
  <c r="AC94" i="8"/>
  <c r="Y50" i="5"/>
  <c r="Z47" i="5"/>
  <c r="U50" i="5"/>
  <c r="W38" i="5"/>
  <c r="P50" i="5"/>
  <c r="Y47" i="5"/>
  <c r="I42" i="5"/>
  <c r="V38" i="5"/>
  <c r="L94" i="8"/>
  <c r="K46" i="5"/>
  <c r="L38" i="5"/>
  <c r="T48" i="5"/>
  <c r="S36" i="5"/>
  <c r="U94" i="8"/>
  <c r="U42" i="5"/>
  <c r="K48" i="5"/>
  <c r="W45" i="5"/>
  <c r="L36" i="5"/>
  <c r="M34" i="5"/>
  <c r="I49" i="5"/>
  <c r="W49" i="5"/>
  <c r="AF86" i="8"/>
  <c r="Q38" i="5"/>
  <c r="N46" i="5"/>
  <c r="Q47" i="5"/>
  <c r="Y32" i="5"/>
  <c r="H94" i="8"/>
  <c r="Y45" i="5"/>
  <c r="N45" i="5"/>
  <c r="L49" i="5"/>
  <c r="R36" i="5"/>
  <c r="M36" i="5"/>
  <c r="S45" i="5"/>
  <c r="Y41" i="5"/>
  <c r="Z38" i="5"/>
  <c r="AN94" i="8"/>
  <c r="S42" i="5"/>
  <c r="Z41" i="5"/>
  <c r="X49" i="5"/>
  <c r="K42" i="5"/>
  <c r="F94" i="8"/>
  <c r="L41" i="5"/>
  <c r="I36" i="5"/>
  <c r="K39" i="5"/>
  <c r="P34" i="5"/>
  <c r="AK76" i="8"/>
  <c r="AF76" i="8"/>
  <c r="I94" i="8"/>
  <c r="W41" i="5"/>
  <c r="T49" i="5"/>
  <c r="U38" i="5"/>
  <c r="O39" i="5"/>
  <c r="AH94" i="8"/>
  <c r="N48" i="5"/>
  <c r="P39" i="5"/>
  <c r="T45" i="5"/>
  <c r="I50" i="5"/>
  <c r="T50" i="5"/>
  <c r="W44" i="5"/>
  <c r="X46" i="5"/>
  <c r="Y42" i="5"/>
  <c r="P94" i="8"/>
  <c r="I34" i="5"/>
  <c r="S44" i="5"/>
  <c r="T46" i="5"/>
  <c r="N49" i="5"/>
  <c r="AS94" i="8"/>
  <c r="T34" i="5"/>
  <c r="W48" i="5"/>
  <c r="J49" i="5"/>
  <c r="M45" i="5"/>
  <c r="T38" i="5"/>
  <c r="V45" i="5"/>
  <c r="U39" i="5"/>
  <c r="AO94" i="8"/>
  <c r="N38" i="5"/>
  <c r="J47" i="5"/>
  <c r="C47" i="5"/>
  <c r="J34" i="5"/>
  <c r="Y94" i="8"/>
  <c r="R39" i="5"/>
  <c r="P42" i="5"/>
  <c r="U48" i="5"/>
  <c r="M48" i="5"/>
  <c r="I48" i="5"/>
  <c r="J45" i="5"/>
  <c r="X44" i="5"/>
  <c r="AD94" i="8"/>
  <c r="W47" i="5"/>
  <c r="T32" i="5"/>
  <c r="Z34" i="5"/>
  <c r="R32" i="5"/>
  <c r="AV94" i="8"/>
  <c r="M39" i="5"/>
  <c r="L44" i="5"/>
  <c r="T36" i="5"/>
  <c r="M47" i="5"/>
  <c r="Q34" i="5"/>
  <c r="N39" i="5"/>
  <c r="R42" i="5"/>
  <c r="I45" i="5"/>
  <c r="T94" i="8"/>
  <c r="X38" i="5"/>
  <c r="P32" i="5"/>
  <c r="K49" i="5"/>
  <c r="M32" i="5"/>
  <c r="AE76" i="8"/>
  <c r="Z45" i="5"/>
  <c r="M50" i="5"/>
  <c r="T47" i="5"/>
  <c r="E94" i="8"/>
  <c r="V39" i="5"/>
  <c r="X45" i="5"/>
  <c r="P38" i="5"/>
  <c r="R41" i="5"/>
  <c r="X94" i="8"/>
  <c r="U45" i="5"/>
  <c r="Q36" i="5"/>
  <c r="Y46" i="5"/>
  <c r="R44" i="5"/>
  <c r="W76" i="8"/>
  <c r="U47" i="5"/>
  <c r="W46" i="5"/>
  <c r="Z39" i="5"/>
  <c r="J50" i="5"/>
  <c r="R49" i="5"/>
  <c r="M46" i="5"/>
  <c r="AL94" i="8"/>
  <c r="J42" i="5"/>
  <c r="AJ76" i="8"/>
  <c r="O42" i="5"/>
  <c r="N41" i="5"/>
  <c r="V47" i="5"/>
  <c r="W36" i="5"/>
  <c r="AU76" i="8"/>
  <c r="J48" i="5"/>
  <c r="I39" i="5"/>
  <c r="P46" i="5"/>
  <c r="AG94" i="8"/>
  <c r="K41" i="5"/>
  <c r="Q46" i="5"/>
  <c r="R38" i="5"/>
  <c r="W34" i="5"/>
  <c r="S94" i="8"/>
  <c r="I47" i="5"/>
  <c r="J32" i="5"/>
  <c r="N50" i="5"/>
  <c r="J38" i="5"/>
  <c r="N42" i="5"/>
  <c r="N47" i="5"/>
  <c r="N32" i="5"/>
  <c r="L42" i="5"/>
  <c r="V94" i="8"/>
  <c r="S47" i="5"/>
  <c r="O34" i="5"/>
  <c r="Z42" i="5"/>
  <c r="Q45" i="5"/>
  <c r="K94" i="8"/>
  <c r="Y36" i="5"/>
  <c r="S34" i="5"/>
  <c r="Y39" i="5"/>
  <c r="X42" i="5"/>
  <c r="L32" i="5"/>
  <c r="P41" i="5"/>
  <c r="V49" i="5"/>
  <c r="J44" i="5"/>
  <c r="R76" i="8"/>
  <c r="C94" i="8"/>
  <c r="S48" i="5"/>
  <c r="R50" i="5"/>
  <c r="V46" i="5"/>
  <c r="Q41" i="5"/>
  <c r="L45" i="5"/>
  <c r="Q32" i="5"/>
  <c r="J46" i="5"/>
  <c r="Y38" i="5"/>
  <c r="AT94" i="8"/>
  <c r="V34" i="5"/>
  <c r="Z49" i="5"/>
  <c r="T42" i="5"/>
  <c r="K47" i="5"/>
  <c r="O86" i="8"/>
  <c r="X39" i="5"/>
  <c r="X47" i="5"/>
  <c r="U49" i="5"/>
  <c r="O46" i="5"/>
  <c r="O38" i="5"/>
  <c r="P45" i="5"/>
  <c r="T39" i="5"/>
  <c r="P49" i="5"/>
  <c r="AP94" i="8"/>
  <c r="S38" i="5"/>
  <c r="U44" i="5"/>
  <c r="S32" i="5"/>
  <c r="N44" i="5"/>
  <c r="AE86" i="8"/>
  <c r="Z48" i="5"/>
  <c r="R45" i="5"/>
  <c r="Q50" i="5"/>
  <c r="I32" i="5"/>
  <c r="O36" i="5"/>
  <c r="Z36" i="5"/>
  <c r="V32" i="5"/>
  <c r="L50" i="5"/>
  <c r="B94" i="8"/>
  <c r="S41" i="5"/>
  <c r="U46" i="5"/>
  <c r="K36" i="5"/>
  <c r="Z94" i="8"/>
  <c r="M44" i="5"/>
  <c r="V36" i="5"/>
  <c r="Z44" i="5"/>
  <c r="V44" i="5"/>
  <c r="K45" i="5"/>
  <c r="K50" i="5"/>
  <c r="O41" i="5"/>
  <c r="K34" i="5"/>
  <c r="W42" i="5"/>
  <c r="P47" i="5"/>
  <c r="O32" i="5"/>
  <c r="K44" i="5"/>
  <c r="X36" i="5"/>
  <c r="J41" i="5"/>
  <c r="O47" i="5"/>
  <c r="I46" i="5"/>
  <c r="Q44" i="5"/>
  <c r="V48" i="5"/>
  <c r="X41" i="5"/>
  <c r="Z46" i="5"/>
  <c r="L34" i="5"/>
  <c r="AI94" i="8"/>
  <c r="Q42" i="5"/>
  <c r="Q39" i="5"/>
  <c r="X32" i="5"/>
  <c r="O44" i="5"/>
  <c r="O49" i="5"/>
  <c r="R46" i="5"/>
  <c r="M49" i="5"/>
  <c r="P36" i="5"/>
  <c r="Q94" i="8"/>
  <c r="T41" i="5"/>
  <c r="V50" i="5"/>
  <c r="Q48" i="5"/>
  <c r="Y49" i="5"/>
  <c r="V42" i="5"/>
  <c r="R48" i="5"/>
  <c r="Y48" i="5"/>
  <c r="AB76" i="8"/>
  <c r="AM76" i="8"/>
  <c r="O45" i="5"/>
  <c r="X48" i="5"/>
  <c r="K38" i="5"/>
  <c r="P48" i="5"/>
  <c r="S46" i="5"/>
  <c r="S50" i="5"/>
  <c r="R34" i="5"/>
  <c r="K32" i="5"/>
  <c r="J94" i="8"/>
  <c r="N36" i="5"/>
  <c r="S39" i="5"/>
  <c r="Z32" i="5"/>
  <c r="W50" i="5"/>
  <c r="Y34" i="5"/>
  <c r="J36" i="5"/>
  <c r="L48" i="5"/>
  <c r="X50" i="5"/>
  <c r="M94" i="8"/>
  <c r="M38" i="5"/>
  <c r="U32" i="5"/>
  <c r="M41" i="5"/>
  <c r="Z50" i="5"/>
  <c r="G76" i="8"/>
  <c r="Q49" i="5"/>
  <c r="I38" i="5"/>
  <c r="J39" i="5"/>
  <c r="L46" i="5"/>
  <c r="S49" i="5"/>
  <c r="W39" i="5"/>
  <c r="N34" i="5"/>
  <c r="M42" i="5"/>
  <c r="O48" i="5"/>
  <c r="AB86" i="8" l="1"/>
  <c r="AB84" i="8" s="1"/>
  <c r="AB81" i="8" s="1"/>
  <c r="AB77" i="8"/>
  <c r="AB99" i="8" s="1"/>
  <c r="AB82" i="8"/>
  <c r="R77" i="8"/>
  <c r="R99" i="8" s="1"/>
  <c r="R86" i="8"/>
  <c r="R84" i="8" s="1"/>
  <c r="R81" i="8" s="1"/>
  <c r="R82" i="8"/>
  <c r="AJ86" i="8"/>
  <c r="AJ82" i="8"/>
  <c r="AJ77" i="8"/>
  <c r="AJ99" i="8" s="1"/>
  <c r="AF77" i="8"/>
  <c r="AF82" i="8"/>
  <c r="AK86" i="8"/>
  <c r="AK84" i="8" s="1"/>
  <c r="AK82" i="8"/>
  <c r="AK77" i="8"/>
  <c r="AK99" i="8" s="1"/>
  <c r="H88" i="8"/>
  <c r="AF84" i="8"/>
  <c r="B81" i="8"/>
  <c r="B116" i="8"/>
  <c r="B96" i="8"/>
  <c r="K80" i="8"/>
  <c r="Y85" i="8"/>
  <c r="Y95" i="8"/>
  <c r="Y97" i="8" s="1"/>
  <c r="AB85" i="8"/>
  <c r="U85" i="8"/>
  <c r="U95" i="8"/>
  <c r="U97" i="8" s="1"/>
  <c r="B105" i="8"/>
  <c r="B95" i="8"/>
  <c r="B97" i="8" s="1"/>
  <c r="B85" i="8"/>
  <c r="Q85" i="8"/>
  <c r="Q95" i="8"/>
  <c r="Q97" i="8" s="1"/>
  <c r="K85" i="8"/>
  <c r="K105" i="8"/>
  <c r="K95" i="8"/>
  <c r="K97" i="8" s="1"/>
  <c r="X85" i="8"/>
  <c r="X95" i="8"/>
  <c r="X97" i="8" s="1"/>
  <c r="AO95" i="8"/>
  <c r="AO97" i="8" s="1"/>
  <c r="AO85" i="8"/>
  <c r="AL95" i="8"/>
  <c r="AL97" i="8" s="1"/>
  <c r="AL85" i="8"/>
  <c r="L85" i="8"/>
  <c r="L105" i="8"/>
  <c r="L95" i="8"/>
  <c r="L97" i="8" s="1"/>
  <c r="AI85" i="8"/>
  <c r="AI95" i="8"/>
  <c r="AI97" i="8" s="1"/>
  <c r="AP85" i="8"/>
  <c r="AP95" i="8"/>
  <c r="AP97" i="8" s="1"/>
  <c r="V85" i="8"/>
  <c r="V95" i="8"/>
  <c r="V97" i="8" s="1"/>
  <c r="E105" i="8"/>
  <c r="E85" i="8"/>
  <c r="E95" i="8"/>
  <c r="E97" i="8" s="1"/>
  <c r="R85" i="8"/>
  <c r="AS95" i="8"/>
  <c r="AS97" i="8" s="1"/>
  <c r="AS85" i="8"/>
  <c r="F105" i="8"/>
  <c r="F85" i="8"/>
  <c r="F95" i="8"/>
  <c r="F97" i="8" s="1"/>
  <c r="AC85" i="8"/>
  <c r="AC95" i="8"/>
  <c r="AC97" i="8" s="1"/>
  <c r="M105" i="8"/>
  <c r="M85" i="8"/>
  <c r="M95" i="8"/>
  <c r="M97" i="8" s="1"/>
  <c r="S95" i="8"/>
  <c r="S97" i="8" s="1"/>
  <c r="S85" i="8"/>
  <c r="T85" i="8"/>
  <c r="T95" i="8"/>
  <c r="T97" i="8" s="1"/>
  <c r="T98" i="8" s="1"/>
  <c r="P85" i="8"/>
  <c r="P95" i="8"/>
  <c r="P97" i="8" s="1"/>
  <c r="AN85" i="8"/>
  <c r="AN95" i="8"/>
  <c r="AN97" i="8" s="1"/>
  <c r="AN98" i="8" s="1"/>
  <c r="AA85" i="8"/>
  <c r="AA95" i="8"/>
  <c r="AA97" i="8" s="1"/>
  <c r="J105" i="8"/>
  <c r="J85" i="8"/>
  <c r="J95" i="8"/>
  <c r="J97" i="8" s="1"/>
  <c r="AK85" i="8"/>
  <c r="AT85" i="8"/>
  <c r="AT95" i="8"/>
  <c r="AT97" i="8" s="1"/>
  <c r="AG85" i="8"/>
  <c r="AG95" i="8"/>
  <c r="AG97" i="8" s="1"/>
  <c r="AG98" i="8" s="1"/>
  <c r="AV85" i="8"/>
  <c r="AV95" i="8"/>
  <c r="AV97" i="8" s="1"/>
  <c r="AH95" i="8"/>
  <c r="AH97" i="8" s="1"/>
  <c r="AH85" i="8"/>
  <c r="H85" i="8"/>
  <c r="H95" i="8"/>
  <c r="H97" i="8" s="1"/>
  <c r="H105" i="8"/>
  <c r="D105" i="8"/>
  <c r="D85" i="8"/>
  <c r="D95" i="8"/>
  <c r="D97" i="8" s="1"/>
  <c r="Z85" i="8"/>
  <c r="Z95" i="8"/>
  <c r="Z97" i="8" s="1"/>
  <c r="C85" i="8"/>
  <c r="C105" i="8"/>
  <c r="C95" i="8"/>
  <c r="C97" i="8" s="1"/>
  <c r="AJ85" i="8"/>
  <c r="AD85" i="8"/>
  <c r="AD95" i="8"/>
  <c r="AD97" i="8" s="1"/>
  <c r="I95" i="8"/>
  <c r="I97" i="8" s="1"/>
  <c r="I98" i="8" s="1"/>
  <c r="AQ85" i="8"/>
  <c r="AR85" i="8"/>
  <c r="N85" i="8"/>
  <c r="O85" i="8"/>
  <c r="AE85" i="8"/>
  <c r="I105" i="8"/>
  <c r="AF85" i="8"/>
  <c r="L84" i="8"/>
  <c r="L81" i="8" s="1"/>
  <c r="L96" i="8"/>
  <c r="Q84" i="8"/>
  <c r="Q81" i="8" s="1"/>
  <c r="Q96" i="8"/>
  <c r="S84" i="8"/>
  <c r="S81" i="8" s="1"/>
  <c r="S96" i="8"/>
  <c r="J84" i="8"/>
  <c r="J81" i="8" s="1"/>
  <c r="J96" i="8"/>
  <c r="AC84" i="8"/>
  <c r="AC81" i="8" s="1"/>
  <c r="AC96" i="8"/>
  <c r="AP84" i="8"/>
  <c r="AP81" i="8" s="1"/>
  <c r="AP96" i="8"/>
  <c r="AI84" i="8"/>
  <c r="AI81" i="8" s="1"/>
  <c r="AI96" i="8"/>
  <c r="AL84" i="8"/>
  <c r="AL81" i="8" s="1"/>
  <c r="AL96" i="8"/>
  <c r="H84" i="8"/>
  <c r="H96" i="8"/>
  <c r="AD84" i="8"/>
  <c r="AD81" i="8" s="1"/>
  <c r="AD96" i="8"/>
  <c r="AO84" i="8"/>
  <c r="AO81" i="8" s="1"/>
  <c r="AO96" i="8"/>
  <c r="V84" i="8"/>
  <c r="V81" i="8" s="1"/>
  <c r="V96" i="8"/>
  <c r="D84" i="8"/>
  <c r="D96" i="8"/>
  <c r="AS84" i="8"/>
  <c r="AS81" i="8" s="1"/>
  <c r="AS96" i="8"/>
  <c r="C84" i="8"/>
  <c r="C81" i="8" s="1"/>
  <c r="C96" i="8"/>
  <c r="U84" i="8"/>
  <c r="U81" i="8" s="1"/>
  <c r="U96" i="8"/>
  <c r="AA84" i="8"/>
  <c r="AA81" i="8" s="1"/>
  <c r="AA96" i="8"/>
  <c r="AG84" i="8"/>
  <c r="AG81" i="8" s="1"/>
  <c r="AG96" i="8"/>
  <c r="AB96" i="8"/>
  <c r="X84" i="8"/>
  <c r="X81" i="8" s="1"/>
  <c r="X96" i="8"/>
  <c r="AH84" i="8"/>
  <c r="AH81" i="8" s="1"/>
  <c r="AH96" i="8"/>
  <c r="AN84" i="8"/>
  <c r="AN81" i="8" s="1"/>
  <c r="AN96" i="8"/>
  <c r="AJ84" i="8"/>
  <c r="AJ96" i="8"/>
  <c r="AT84" i="8"/>
  <c r="AT81" i="8" s="1"/>
  <c r="AT96" i="8"/>
  <c r="T84" i="8"/>
  <c r="T81" i="8" s="1"/>
  <c r="T96" i="8"/>
  <c r="F84" i="8"/>
  <c r="F81" i="8" s="1"/>
  <c r="F83" i="8" s="1"/>
  <c r="F90" i="8" s="1"/>
  <c r="F100" i="8" s="1"/>
  <c r="F96" i="8"/>
  <c r="E84" i="8"/>
  <c r="E96" i="8"/>
  <c r="M84" i="8"/>
  <c r="M81" i="8" s="1"/>
  <c r="M96" i="8"/>
  <c r="K84" i="8"/>
  <c r="K81" i="8" s="1"/>
  <c r="K96" i="8"/>
  <c r="AC98" i="8"/>
  <c r="Z84" i="8"/>
  <c r="Z81" i="8" s="1"/>
  <c r="Z96" i="8"/>
  <c r="Y84" i="8"/>
  <c r="Y81" i="8" s="1"/>
  <c r="Y96" i="8"/>
  <c r="I84" i="8"/>
  <c r="I81" i="8" s="1"/>
  <c r="I83" i="8" s="1"/>
  <c r="I90" i="8" s="1"/>
  <c r="I100" i="8" s="1"/>
  <c r="I96" i="8"/>
  <c r="AU86" i="8"/>
  <c r="AU82" i="8"/>
  <c r="AU77" i="8"/>
  <c r="AU99" i="8" s="1"/>
  <c r="AM86" i="8"/>
  <c r="AM82" i="8"/>
  <c r="AM77" i="8"/>
  <c r="AM99" i="8" s="1"/>
  <c r="W86" i="8"/>
  <c r="W82" i="8"/>
  <c r="W77" i="8"/>
  <c r="W99" i="8" s="1"/>
  <c r="AE84" i="8"/>
  <c r="AE81" i="8" s="1"/>
  <c r="G86" i="8"/>
  <c r="G77" i="8"/>
  <c r="G99" i="8" s="1"/>
  <c r="G82" i="8"/>
  <c r="AE77" i="8"/>
  <c r="AE82" i="8"/>
  <c r="O84" i="8"/>
  <c r="O77" i="8"/>
  <c r="O82" i="8"/>
  <c r="C83" i="8"/>
  <c r="C90" i="8" s="1"/>
  <c r="C100" i="8" s="1"/>
  <c r="Z55" i="5"/>
  <c r="Z61" i="5" s="1"/>
  <c r="X55" i="5"/>
  <c r="X61" i="5" s="1"/>
  <c r="Y55" i="5"/>
  <c r="Y61" i="5" s="1"/>
  <c r="W55" i="5"/>
  <c r="W61" i="5" s="1"/>
  <c r="V55" i="5"/>
  <c r="V61" i="5" s="1"/>
  <c r="U55" i="5"/>
  <c r="U61" i="5" s="1"/>
  <c r="T55" i="5"/>
  <c r="T61" i="5" s="1"/>
  <c r="S55" i="5"/>
  <c r="S61" i="5" s="1"/>
  <c r="R55" i="5"/>
  <c r="R61" i="5" s="1"/>
  <c r="Q55" i="5"/>
  <c r="Q61" i="5" s="1"/>
  <c r="P55" i="5"/>
  <c r="P61" i="5" s="1"/>
  <c r="O55" i="5"/>
  <c r="O61" i="5" s="1"/>
  <c r="I55" i="5"/>
  <c r="I61" i="5" s="1"/>
  <c r="N55" i="5"/>
  <c r="N61" i="5" s="1"/>
  <c r="K55" i="5"/>
  <c r="K61" i="5" s="1"/>
  <c r="M55" i="5"/>
  <c r="M61" i="5" s="1"/>
  <c r="L55" i="5"/>
  <c r="L61" i="5" s="1"/>
  <c r="J55" i="5"/>
  <c r="J61" i="5" s="1"/>
  <c r="C55" i="5"/>
  <c r="C61" i="5" s="1"/>
  <c r="AJ94" i="8"/>
  <c r="P52" i="5"/>
  <c r="AM94" i="8"/>
  <c r="S52" i="5"/>
  <c r="M52" i="5"/>
  <c r="I52" i="5"/>
  <c r="N52" i="5"/>
  <c r="W52" i="5"/>
  <c r="AK94" i="8"/>
  <c r="AU94" i="8"/>
  <c r="Q52" i="5"/>
  <c r="X52" i="5"/>
  <c r="R52" i="5"/>
  <c r="Z52" i="5"/>
  <c r="AB94" i="8"/>
  <c r="W94" i="8"/>
  <c r="O52" i="5"/>
  <c r="L52" i="5"/>
  <c r="G94" i="8"/>
  <c r="J52" i="5"/>
  <c r="Y52" i="5"/>
  <c r="U52" i="5"/>
  <c r="K52" i="5"/>
  <c r="R94" i="8"/>
  <c r="T52" i="5"/>
  <c r="V52" i="5"/>
  <c r="AJ81" i="8" l="1"/>
  <c r="M98" i="8"/>
  <c r="AK81" i="8"/>
  <c r="X98" i="8"/>
  <c r="B98" i="8"/>
  <c r="J83" i="8"/>
  <c r="J90" i="8" s="1"/>
  <c r="J100" i="8" s="1"/>
  <c r="R95" i="8"/>
  <c r="R97" i="8" s="1"/>
  <c r="R98" i="8" s="1"/>
  <c r="AB95" i="8"/>
  <c r="AB97" i="8" s="1"/>
  <c r="AK95" i="8"/>
  <c r="AK97" i="8" s="1"/>
  <c r="AJ95" i="8"/>
  <c r="AJ97" i="8" s="1"/>
  <c r="AJ98" i="8" s="1"/>
  <c r="R96" i="8"/>
  <c r="AF81" i="8"/>
  <c r="AP98" i="8"/>
  <c r="Q98" i="8"/>
  <c r="AK96" i="8"/>
  <c r="C98" i="8"/>
  <c r="AH98" i="8"/>
  <c r="O81" i="8"/>
  <c r="S98" i="8"/>
  <c r="B83" i="8"/>
  <c r="B90" i="8" s="1"/>
  <c r="B100" i="8" s="1"/>
  <c r="E81" i="8"/>
  <c r="E83" i="8" s="1"/>
  <c r="E90" i="8" s="1"/>
  <c r="E100" i="8" s="1"/>
  <c r="AI98" i="8"/>
  <c r="D81" i="8"/>
  <c r="D83" i="8" s="1"/>
  <c r="D90" i="8" s="1"/>
  <c r="D100" i="8" s="1"/>
  <c r="H81" i="8"/>
  <c r="H83" i="8" s="1"/>
  <c r="H90" i="8" s="1"/>
  <c r="H100" i="8" s="1"/>
  <c r="J98" i="8"/>
  <c r="AT98" i="8"/>
  <c r="L98" i="8"/>
  <c r="L80" i="8"/>
  <c r="K83" i="8"/>
  <c r="K90" i="8" s="1"/>
  <c r="K100" i="8" s="1"/>
  <c r="AM85" i="8"/>
  <c r="AM95" i="8"/>
  <c r="AM97" i="8" s="1"/>
  <c r="AM98" i="8" s="1"/>
  <c r="AU85" i="8"/>
  <c r="AU95" i="8"/>
  <c r="AU97" i="8" s="1"/>
  <c r="AU98" i="8" s="1"/>
  <c r="G105" i="8"/>
  <c r="G85" i="8"/>
  <c r="G95" i="8"/>
  <c r="G97" i="8" s="1"/>
  <c r="G98" i="8" s="1"/>
  <c r="W85" i="8"/>
  <c r="W95" i="8"/>
  <c r="W97" i="8" s="1"/>
  <c r="W98" i="8" s="1"/>
  <c r="H98" i="8"/>
  <c r="AA98" i="8"/>
  <c r="Z98" i="8"/>
  <c r="V98" i="8"/>
  <c r="K98" i="8"/>
  <c r="U98" i="8"/>
  <c r="AD98" i="8"/>
  <c r="AK98" i="8"/>
  <c r="AS98" i="8"/>
  <c r="AB98" i="8"/>
  <c r="D98" i="8"/>
  <c r="AV98" i="8"/>
  <c r="P98" i="8"/>
  <c r="AL98" i="8"/>
  <c r="Y98" i="8"/>
  <c r="E98" i="8"/>
  <c r="AO98" i="8"/>
  <c r="F98" i="8"/>
  <c r="G84" i="8"/>
  <c r="G81" i="8" s="1"/>
  <c r="G96" i="8"/>
  <c r="AU84" i="8"/>
  <c r="AU81" i="8" s="1"/>
  <c r="AU96" i="8"/>
  <c r="W84" i="8"/>
  <c r="W81" i="8" s="1"/>
  <c r="W96" i="8"/>
  <c r="AM84" i="8"/>
  <c r="AM81" i="8" s="1"/>
  <c r="AM96" i="8"/>
  <c r="Y53" i="5"/>
  <c r="Y62" i="5" s="1"/>
  <c r="X53" i="5"/>
  <c r="X62" i="5" s="1"/>
  <c r="Z53" i="5"/>
  <c r="Z62" i="5" s="1"/>
  <c r="P53" i="5"/>
  <c r="P62" i="5" s="1"/>
  <c r="U53" i="5"/>
  <c r="U62" i="5" s="1"/>
  <c r="S53" i="5"/>
  <c r="S62" i="5" s="1"/>
  <c r="V53" i="5"/>
  <c r="V62" i="5" s="1"/>
  <c r="Q53" i="5"/>
  <c r="Q62" i="5" s="1"/>
  <c r="T53" i="5"/>
  <c r="T62" i="5" s="1"/>
  <c r="W53" i="5"/>
  <c r="W62" i="5" s="1"/>
  <c r="R53" i="5"/>
  <c r="R62" i="5" s="1"/>
  <c r="O53" i="5"/>
  <c r="O62" i="5" s="1"/>
  <c r="K53" i="5"/>
  <c r="K62" i="5" s="1"/>
  <c r="N53" i="5"/>
  <c r="N62" i="5" s="1"/>
  <c r="L53" i="5"/>
  <c r="L62" i="5" s="1"/>
  <c r="I53" i="5"/>
  <c r="I62" i="5" s="1"/>
  <c r="J53" i="5"/>
  <c r="J62" i="5" s="1"/>
  <c r="M53" i="5"/>
  <c r="M62" i="5" s="1"/>
  <c r="M80" i="8" l="1"/>
  <c r="L83" i="8"/>
  <c r="L90" i="8" s="1"/>
  <c r="L100" i="8" s="1"/>
  <c r="G83" i="8"/>
  <c r="G90" i="8" s="1"/>
  <c r="G100" i="8" s="1"/>
  <c r="H30" i="5"/>
  <c r="H57" i="5" s="1"/>
  <c r="G30" i="5"/>
  <c r="G57" i="5" s="1"/>
  <c r="F30" i="5"/>
  <c r="F57" i="5" s="1"/>
  <c r="E30" i="5"/>
  <c r="E57" i="5" s="1"/>
  <c r="D30" i="5"/>
  <c r="D57" i="5" s="1"/>
  <c r="C30" i="5"/>
  <c r="C57" i="5" s="1"/>
  <c r="H26" i="5"/>
  <c r="H56" i="5" s="1"/>
  <c r="G26" i="5"/>
  <c r="G56" i="5" s="1"/>
  <c r="F26" i="5"/>
  <c r="F56" i="5" s="1"/>
  <c r="E26" i="5"/>
  <c r="E56" i="5" s="1"/>
  <c r="D26" i="5"/>
  <c r="D56" i="5" s="1"/>
  <c r="D36" i="4"/>
  <c r="E36" i="4"/>
  <c r="F36" i="4"/>
  <c r="G36" i="4"/>
  <c r="H36" i="4"/>
  <c r="C36" i="4"/>
  <c r="D35" i="4"/>
  <c r="E35" i="4"/>
  <c r="F35" i="4"/>
  <c r="G35" i="4"/>
  <c r="H35" i="4"/>
  <c r="C35" i="4"/>
  <c r="D34" i="4"/>
  <c r="E34" i="4"/>
  <c r="F34" i="4"/>
  <c r="G34" i="4"/>
  <c r="H34" i="4"/>
  <c r="C34" i="4"/>
  <c r="D31" i="4"/>
  <c r="E31" i="4"/>
  <c r="F31" i="4"/>
  <c r="G31" i="4"/>
  <c r="H31" i="4"/>
  <c r="D32" i="4"/>
  <c r="E32" i="4"/>
  <c r="F32" i="4"/>
  <c r="G32" i="4"/>
  <c r="H32" i="4"/>
  <c r="C32" i="4"/>
  <c r="C31" i="4"/>
  <c r="D29" i="4"/>
  <c r="E29" i="4"/>
  <c r="F29" i="4"/>
  <c r="G29" i="4"/>
  <c r="H29" i="4"/>
  <c r="D30" i="4"/>
  <c r="E30" i="4"/>
  <c r="F30" i="4"/>
  <c r="G30" i="4"/>
  <c r="H30" i="4"/>
  <c r="C30" i="4"/>
  <c r="C29" i="4"/>
  <c r="E25" i="4"/>
  <c r="E33" i="4" s="1"/>
  <c r="D6" i="4"/>
  <c r="D25" i="4" s="1"/>
  <c r="D33" i="4" s="1"/>
  <c r="E6" i="4"/>
  <c r="F6" i="4"/>
  <c r="F25" i="4" s="1"/>
  <c r="F33" i="4" s="1"/>
  <c r="G6" i="4"/>
  <c r="G25" i="4" s="1"/>
  <c r="G33" i="4" s="1"/>
  <c r="H6" i="4"/>
  <c r="H25" i="4" s="1"/>
  <c r="H33" i="4" s="1"/>
  <c r="C6" i="4"/>
  <c r="C25" i="4" s="1"/>
  <c r="C33" i="4" s="1"/>
  <c r="E49" i="5"/>
  <c r="C31" i="2"/>
  <c r="F32" i="2"/>
  <c r="C32" i="2"/>
  <c r="R31" i="2"/>
  <c r="F46" i="5"/>
  <c r="J29" i="2"/>
  <c r="H39" i="5"/>
  <c r="D32" i="5"/>
  <c r="G31" i="2"/>
  <c r="S29" i="2"/>
  <c r="D32" i="2"/>
  <c r="D44" i="5"/>
  <c r="H32" i="5"/>
  <c r="L29" i="2"/>
  <c r="I31" i="2"/>
  <c r="D39" i="5"/>
  <c r="C44" i="5"/>
  <c r="H27" i="4"/>
  <c r="D42" i="5"/>
  <c r="G47" i="5"/>
  <c r="P31" i="2"/>
  <c r="H49" i="5"/>
  <c r="C46" i="5"/>
  <c r="M32" i="2"/>
  <c r="G49" i="5"/>
  <c r="C42" i="5"/>
  <c r="D41" i="5"/>
  <c r="F36" i="5"/>
  <c r="D47" i="5"/>
  <c r="D29" i="2"/>
  <c r="S31" i="2"/>
  <c r="G44" i="5"/>
  <c r="P29" i="2"/>
  <c r="H50" i="5"/>
  <c r="O29" i="2"/>
  <c r="I29" i="2"/>
  <c r="E44" i="5"/>
  <c r="D31" i="2"/>
  <c r="E45" i="5"/>
  <c r="C34" i="5"/>
  <c r="E27" i="4"/>
  <c r="E28" i="4"/>
  <c r="D34" i="5"/>
  <c r="H31" i="2"/>
  <c r="F50" i="5"/>
  <c r="H46" i="5"/>
  <c r="E42" i="5"/>
  <c r="Q32" i="2"/>
  <c r="N31" i="2"/>
  <c r="F39" i="5"/>
  <c r="G45" i="5"/>
  <c r="C38" i="5"/>
  <c r="G27" i="4"/>
  <c r="D27" i="4"/>
  <c r="H48" i="5"/>
  <c r="P32" i="2"/>
  <c r="D49" i="5"/>
  <c r="E38" i="5"/>
  <c r="C49" i="5"/>
  <c r="F29" i="2"/>
  <c r="G29" i="2"/>
  <c r="K32" i="2"/>
  <c r="F47" i="5"/>
  <c r="N29" i="2"/>
  <c r="C41" i="5"/>
  <c r="N32" i="2"/>
  <c r="E36" i="5"/>
  <c r="G39" i="5"/>
  <c r="Q31" i="2"/>
  <c r="G34" i="5"/>
  <c r="H32" i="2"/>
  <c r="J31" i="2"/>
  <c r="E29" i="2"/>
  <c r="E32" i="2"/>
  <c r="H29" i="2"/>
  <c r="H41" i="5"/>
  <c r="C45" i="5"/>
  <c r="H44" i="5"/>
  <c r="L31" i="2"/>
  <c r="E47" i="5"/>
  <c r="D36" i="5"/>
  <c r="F48" i="5"/>
  <c r="M31" i="2"/>
  <c r="H38" i="5"/>
  <c r="K29" i="2"/>
  <c r="G32" i="5"/>
  <c r="O31" i="2"/>
  <c r="L32" i="2"/>
  <c r="F31" i="2"/>
  <c r="E34" i="5"/>
  <c r="I32" i="2"/>
  <c r="M29" i="2"/>
  <c r="C32" i="5"/>
  <c r="C50" i="5"/>
  <c r="H34" i="5"/>
  <c r="H36" i="5"/>
  <c r="F41" i="5"/>
  <c r="O32" i="2"/>
  <c r="G46" i="5"/>
  <c r="F38" i="5"/>
  <c r="H47" i="5"/>
  <c r="C48" i="5"/>
  <c r="E41" i="5"/>
  <c r="F42" i="5"/>
  <c r="F32" i="5"/>
  <c r="C29" i="2"/>
  <c r="C28" i="4"/>
  <c r="R29" i="2"/>
  <c r="C27" i="4"/>
  <c r="H28" i="4"/>
  <c r="C36" i="5"/>
  <c r="D28" i="4"/>
  <c r="D50" i="5"/>
  <c r="E39" i="5"/>
  <c r="G28" i="4"/>
  <c r="E46" i="5"/>
  <c r="E32" i="5"/>
  <c r="F34" i="5"/>
  <c r="G42" i="5"/>
  <c r="G38" i="5"/>
  <c r="F44" i="5"/>
  <c r="H45" i="5"/>
  <c r="G32" i="2"/>
  <c r="E50" i="5"/>
  <c r="K31" i="2"/>
  <c r="D48" i="5"/>
  <c r="S32" i="2"/>
  <c r="F49" i="5"/>
  <c r="G48" i="5"/>
  <c r="Q29" i="2"/>
  <c r="D38" i="5"/>
  <c r="H42" i="5"/>
  <c r="D46" i="5"/>
  <c r="F45" i="5"/>
  <c r="J32" i="2"/>
  <c r="G50" i="5"/>
  <c r="F27" i="4"/>
  <c r="G36" i="5"/>
  <c r="R32" i="2"/>
  <c r="G41" i="5"/>
  <c r="E31" i="2"/>
  <c r="F28" i="4"/>
  <c r="C39" i="5"/>
  <c r="D45" i="5"/>
  <c r="E48" i="5"/>
  <c r="N80" i="8" l="1"/>
  <c r="M83" i="8"/>
  <c r="M90" i="8" s="1"/>
  <c r="M100" i="8" s="1"/>
  <c r="E55" i="5"/>
  <c r="E61" i="5" s="1"/>
  <c r="F55" i="5"/>
  <c r="F61" i="5" s="1"/>
  <c r="D55" i="5"/>
  <c r="D61" i="5" s="1"/>
  <c r="G55" i="5"/>
  <c r="G61" i="5" s="1"/>
  <c r="H55" i="5"/>
  <c r="H61" i="5" s="1"/>
  <c r="B14" i="3"/>
  <c r="B12" i="3"/>
  <c r="F5" i="3"/>
  <c r="F7" i="3" s="1"/>
  <c r="D5" i="3"/>
  <c r="B5" i="3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C30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C36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C35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C34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C28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C27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C26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C25" i="2"/>
  <c r="H52" i="5"/>
  <c r="G52" i="5"/>
  <c r="D52" i="5"/>
  <c r="E52" i="5"/>
  <c r="C52" i="5"/>
  <c r="F52" i="5"/>
  <c r="O80" i="8" l="1"/>
  <c r="N83" i="8"/>
  <c r="D53" i="5"/>
  <c r="D62" i="5" s="1"/>
  <c r="E53" i="5"/>
  <c r="E62" i="5" s="1"/>
  <c r="G53" i="5"/>
  <c r="G62" i="5" s="1"/>
  <c r="F53" i="5"/>
  <c r="F62" i="5" s="1"/>
  <c r="H53" i="5"/>
  <c r="H62" i="5" s="1"/>
  <c r="C53" i="5"/>
  <c r="C62" i="5" s="1"/>
  <c r="E23" i="2"/>
  <c r="I23" i="2"/>
  <c r="M23" i="2"/>
  <c r="Q23" i="2"/>
  <c r="F23" i="2"/>
  <c r="J23" i="2"/>
  <c r="N23" i="2"/>
  <c r="R23" i="2"/>
  <c r="C23" i="2"/>
  <c r="G23" i="2"/>
  <c r="K23" i="2"/>
  <c r="O23" i="2"/>
  <c r="S23" i="2"/>
  <c r="D23" i="2"/>
  <c r="H23" i="2"/>
  <c r="L23" i="2"/>
  <c r="P23" i="2"/>
  <c r="P80" i="8" l="1"/>
  <c r="O83" i="8"/>
  <c r="P83" i="8" l="1"/>
  <c r="Q80" i="8"/>
  <c r="Q83" i="8" l="1"/>
  <c r="Q90" i="8" s="1"/>
  <c r="Q100" i="8" s="1"/>
  <c r="R80" i="8"/>
  <c r="R83" i="8" l="1"/>
  <c r="R90" i="8" s="1"/>
  <c r="R100" i="8" s="1"/>
  <c r="S80" i="8"/>
  <c r="T80" i="8" l="1"/>
  <c r="S83" i="8"/>
  <c r="S90" i="8" s="1"/>
  <c r="S100" i="8" s="1"/>
  <c r="U80" i="8" l="1"/>
  <c r="T83" i="8"/>
  <c r="T90" i="8" s="1"/>
  <c r="T100" i="8" s="1"/>
  <c r="V80" i="8" l="1"/>
  <c r="U83" i="8"/>
  <c r="U90" i="8" s="1"/>
  <c r="U100" i="8" s="1"/>
  <c r="W80" i="8" l="1"/>
  <c r="V83" i="8"/>
  <c r="V90" i="8" s="1"/>
  <c r="V100" i="8" s="1"/>
  <c r="W83" i="8" l="1"/>
  <c r="W90" i="8" s="1"/>
  <c r="W100" i="8" s="1"/>
  <c r="X80" i="8"/>
  <c r="Y80" i="8" l="1"/>
  <c r="X83" i="8"/>
  <c r="X90" i="8" s="1"/>
  <c r="X100" i="8" s="1"/>
  <c r="Y83" i="8" l="1"/>
  <c r="Y90" i="8" s="1"/>
  <c r="Y100" i="8" s="1"/>
  <c r="Z80" i="8"/>
  <c r="AA80" i="8" l="1"/>
  <c r="Z83" i="8"/>
  <c r="Z90" i="8" s="1"/>
  <c r="Z100" i="8" s="1"/>
  <c r="AB80" i="8" l="1"/>
  <c r="AA83" i="8"/>
  <c r="AA90" i="8" s="1"/>
  <c r="AA100" i="8" s="1"/>
  <c r="AC80" i="8" l="1"/>
  <c r="AB83" i="8"/>
  <c r="AB90" i="8" s="1"/>
  <c r="AB100" i="8" s="1"/>
  <c r="AD80" i="8" l="1"/>
  <c r="AC83" i="8"/>
  <c r="AC90" i="8" s="1"/>
  <c r="AC100" i="8" s="1"/>
  <c r="AE80" i="8" l="1"/>
  <c r="AD83" i="8"/>
  <c r="AD90" i="8" s="1"/>
  <c r="AD100" i="8" s="1"/>
  <c r="AE83" i="8" l="1"/>
  <c r="AE90" i="8" s="1"/>
  <c r="AF80" i="8"/>
  <c r="AF83" i="8" l="1"/>
  <c r="AF90" i="8" s="1"/>
  <c r="AG80" i="8"/>
  <c r="AG83" i="8" l="1"/>
  <c r="AG90" i="8" s="1"/>
  <c r="AG100" i="8" s="1"/>
  <c r="AH80" i="8"/>
  <c r="AH83" i="8" l="1"/>
  <c r="AH90" i="8" s="1"/>
  <c r="AH100" i="8" s="1"/>
  <c r="AI80" i="8"/>
  <c r="AJ80" i="8" l="1"/>
  <c r="AI83" i="8"/>
  <c r="AI90" i="8" s="1"/>
  <c r="AI100" i="8" s="1"/>
  <c r="AK80" i="8" l="1"/>
  <c r="AJ83" i="8"/>
  <c r="AJ90" i="8" s="1"/>
  <c r="AJ100" i="8" s="1"/>
  <c r="AL80" i="8" l="1"/>
  <c r="AK83" i="8"/>
  <c r="AK90" i="8" s="1"/>
  <c r="AK100" i="8" s="1"/>
  <c r="AM80" i="8" l="1"/>
  <c r="AL83" i="8"/>
  <c r="AL90" i="8" s="1"/>
  <c r="AL100" i="8" s="1"/>
  <c r="AN80" i="8" l="1"/>
  <c r="AM83" i="8"/>
  <c r="AM90" i="8" s="1"/>
  <c r="AM100" i="8" s="1"/>
  <c r="AN83" i="8" l="1"/>
  <c r="AN90" i="8" s="1"/>
  <c r="AN100" i="8" s="1"/>
  <c r="AO80" i="8"/>
  <c r="AP80" i="8" l="1"/>
  <c r="AO83" i="8"/>
  <c r="AO90" i="8" s="1"/>
  <c r="AO100" i="8" s="1"/>
  <c r="AP83" i="8" l="1"/>
  <c r="AP90" i="8" s="1"/>
  <c r="AP100" i="8" s="1"/>
  <c r="AQ80" i="8"/>
  <c r="AR80" i="8" l="1"/>
  <c r="AQ83" i="8"/>
  <c r="AS80" i="8" l="1"/>
  <c r="AR83" i="8"/>
  <c r="AT80" i="8" l="1"/>
  <c r="AS83" i="8"/>
  <c r="AS90" i="8" s="1"/>
  <c r="AS100" i="8" s="1"/>
  <c r="AU80" i="8" l="1"/>
  <c r="AT83" i="8"/>
  <c r="AT90" i="8" s="1"/>
  <c r="AT100" i="8" s="1"/>
  <c r="AV80" i="8" l="1"/>
  <c r="AV83" i="8" s="1"/>
  <c r="AU83" i="8"/>
  <c r="AU90" i="8" s="1"/>
  <c r="AU100" i="8" s="1"/>
</calcChain>
</file>

<file path=xl/sharedStrings.xml><?xml version="1.0" encoding="utf-8"?>
<sst xmlns="http://schemas.openxmlformats.org/spreadsheetml/2006/main" count="276" uniqueCount="132">
  <si>
    <t>Пар в отборе 2:</t>
  </si>
  <si>
    <t>Расход, кг/с</t>
  </si>
  <si>
    <t>Давление пара, МПа</t>
  </si>
  <si>
    <t>Температура пара, °С</t>
  </si>
  <si>
    <t>Пар в отборе 1:</t>
  </si>
  <si>
    <t>Пар перед ЦНД:</t>
  </si>
  <si>
    <t>Степень сухости пара/влажность пара ,</t>
  </si>
  <si>
    <t>/0,34</t>
  </si>
  <si>
    <t>/1,81</t>
  </si>
  <si>
    <t>/0,44</t>
  </si>
  <si>
    <t>Расход сетевой воды, т/ч</t>
  </si>
  <si>
    <t>из них: на ОКБ, кг/с</t>
  </si>
  <si>
    <t>на ВВТО, кг/с</t>
  </si>
  <si>
    <t>Температура прям. сетевой воды, °С</t>
  </si>
  <si>
    <t>Температура обрат. сетевой воды, °С</t>
  </si>
  <si>
    <t>Тепловая нагрузка ПСГ-1, МВт</t>
  </si>
  <si>
    <t>Гкал/ч</t>
  </si>
  <si>
    <t>Тепловая нагрузка ПСГ-2, МВт</t>
  </si>
  <si>
    <t>Тепловая нагрузка ОКБ, МВт</t>
  </si>
  <si>
    <t>Степень сухости пара/влажность пара , %</t>
  </si>
  <si>
    <t>/0,21</t>
  </si>
  <si>
    <t>/2,62</t>
  </si>
  <si>
    <t>/2,85</t>
  </si>
  <si>
    <t>/4,76</t>
  </si>
  <si>
    <t>/4,84</t>
  </si>
  <si>
    <t>/5,0</t>
  </si>
  <si>
    <t>/5,57</t>
  </si>
  <si>
    <t>/4,56</t>
  </si>
  <si>
    <t>Расход сетевой воды, кг/с</t>
  </si>
  <si>
    <t>Температура прямой сетевой воды, °С</t>
  </si>
  <si>
    <t>Температура обратной сетевой воды, °С</t>
  </si>
  <si>
    <t>Тепловая нагрузка ПСГ-1,МВт</t>
  </si>
  <si>
    <t>Тепловая нагрузка ПСГ-2,МВт</t>
  </si>
  <si>
    <t>Тепловая нагрузка ОКБ,МВт</t>
  </si>
  <si>
    <t>Расход сетевой воды</t>
  </si>
  <si>
    <t>Температура прямой воды</t>
  </si>
  <si>
    <t>Температура обратной воды</t>
  </si>
  <si>
    <t>Давление во 2 отборе</t>
  </si>
  <si>
    <t>Давление в 1 отборе</t>
  </si>
  <si>
    <t>Расход на ПСГ2</t>
  </si>
  <si>
    <t>Расход на ПСГ1</t>
  </si>
  <si>
    <t>Энтальпия во 2 отборе</t>
  </si>
  <si>
    <t>Энтальпия в 1 отборе</t>
  </si>
  <si>
    <t>Тепловая нагрузка общая</t>
  </si>
  <si>
    <t>Температура насыщения</t>
  </si>
  <si>
    <t>SWIN-TURB</t>
  </si>
  <si>
    <t>SP2-WOUT</t>
  </si>
  <si>
    <t>OTB2-SP2</t>
  </si>
  <si>
    <t>OTB1-SP1</t>
  </si>
  <si>
    <t>113.59362065560336</t>
  </si>
  <si>
    <t>Пар ВД на входе в турбину:</t>
  </si>
  <si>
    <t>Температура пара, °С:</t>
  </si>
  <si>
    <t>Пар НД на входе в турбину:</t>
  </si>
  <si>
    <t>Энтальпия ВД</t>
  </si>
  <si>
    <t>Энтальпия НД</t>
  </si>
  <si>
    <t>Расход ВД</t>
  </si>
  <si>
    <t>Расход НД</t>
  </si>
  <si>
    <t>Температура ВД</t>
  </si>
  <si>
    <t>Температура НД</t>
  </si>
  <si>
    <t>Расход воды</t>
  </si>
  <si>
    <t>Тос</t>
  </si>
  <si>
    <t>Тпс</t>
  </si>
  <si>
    <t>Расход сетевой</t>
  </si>
  <si>
    <t>Расход пара, кг/с</t>
  </si>
  <si>
    <t>Пар после смешения:</t>
  </si>
  <si>
    <t>Температура пара,°С</t>
  </si>
  <si>
    <t>Степень сухости/влажность пара, %</t>
  </si>
  <si>
    <t>Пар после ЦНД:</t>
  </si>
  <si>
    <t>ВД</t>
  </si>
  <si>
    <t>НД</t>
  </si>
  <si>
    <t>Смешение</t>
  </si>
  <si>
    <t>Отб2</t>
  </si>
  <si>
    <t>Т - Тнас</t>
  </si>
  <si>
    <t>Отб1</t>
  </si>
  <si>
    <t>Перед ЦНД</t>
  </si>
  <si>
    <t>Давление</t>
  </si>
  <si>
    <t>Энтропия</t>
  </si>
  <si>
    <t>в ЦНД</t>
  </si>
  <si>
    <t>Энтальпия в ЦНД теор</t>
  </si>
  <si>
    <t>КПД ЦНД</t>
  </si>
  <si>
    <t>Объемный расход на входе</t>
  </si>
  <si>
    <t>Удельный объем</t>
  </si>
  <si>
    <t>Массовый расход на входе</t>
  </si>
  <si>
    <t>210.2</t>
  </si>
  <si>
    <t>-</t>
  </si>
  <si>
    <t>Влажность на входе</t>
  </si>
  <si>
    <t>Влажность на выходе</t>
  </si>
  <si>
    <t>Сумма расходов</t>
  </si>
  <si>
    <t>Расход в ЦНД</t>
  </si>
  <si>
    <t>Дельта</t>
  </si>
  <si>
    <t>тепл</t>
  </si>
  <si>
    <t>конд</t>
  </si>
  <si>
    <t>темпа на входе</t>
  </si>
  <si>
    <t>Давление пара в К, МПа</t>
  </si>
  <si>
    <t>1 отсек</t>
  </si>
  <si>
    <t>Расход на входе</t>
  </si>
  <si>
    <t>Температура на входе</t>
  </si>
  <si>
    <t>Давление на входе</t>
  </si>
  <si>
    <t>2 отсек</t>
  </si>
  <si>
    <t>Температура на выходе</t>
  </si>
  <si>
    <t>Давление на выходе</t>
  </si>
  <si>
    <t>3 отсек</t>
  </si>
  <si>
    <t>4 отсек</t>
  </si>
  <si>
    <t>Сухость на входе</t>
  </si>
  <si>
    <t>Сухость на выходе</t>
  </si>
  <si>
    <t>Энтальпия на входе</t>
  </si>
  <si>
    <t>Энтальпия на выходе</t>
  </si>
  <si>
    <t>Энтропия на входе</t>
  </si>
  <si>
    <t>Энтальпия теор</t>
  </si>
  <si>
    <t>КПД отсека</t>
  </si>
  <si>
    <t>Энтальпия пара на входе</t>
  </si>
  <si>
    <t>Энтальпия воды на входе</t>
  </si>
  <si>
    <t>Средняя сухость</t>
  </si>
  <si>
    <t>Расчет по методике макаревич</t>
  </si>
  <si>
    <t>Kвл</t>
  </si>
  <si>
    <t>бетта вл</t>
  </si>
  <si>
    <t>Hгр ст</t>
  </si>
  <si>
    <t>Hвл</t>
  </si>
  <si>
    <t>Hвс</t>
  </si>
  <si>
    <t>hвл</t>
  </si>
  <si>
    <t>Скокрость пара на выходе</t>
  </si>
  <si>
    <t>v0</t>
  </si>
  <si>
    <t>vz</t>
  </si>
  <si>
    <t>vср</t>
  </si>
  <si>
    <t>Объемный расход (вход)</t>
  </si>
  <si>
    <t>Объемный расход (среднее)</t>
  </si>
  <si>
    <t>Среднее относительное</t>
  </si>
  <si>
    <t>x</t>
  </si>
  <si>
    <t>KPD</t>
  </si>
  <si>
    <t>D</t>
  </si>
  <si>
    <t>KPD_otn</t>
  </si>
  <si>
    <t>D_otn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</si>
</sst>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9" fontId="0" fillId="0" borderId="0" xfId="0" applyNumberFormat="1"/>
    <xf numFmtId="0" fontId="1" fillId="0" borderId="0" xfId="0" applyFont="1" applyAlignment="1">
      <alignment vertical="center"/>
    </xf>
    <xf numFmtId="0" fontId="3" fillId="0" borderId="1" xfId="1" applyFont="1" applyBorder="1" applyAlignment="1">
      <alignment horizontal="center" vertical="center" wrapText="1"/>
    </xf>
    <xf numFmtId="0" fontId="0" fillId="2" borderId="0" xfId="0" applyFill="1"/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</cellXfs>
  <cellStyles count="2">
    <cellStyle name="Normal" xfId="0" builtinId="0"/>
    <cellStyle name="Normal 2" xfId="1" xr:uid="{7D2A8B1B-6292-436E-BD5E-D7B89EAA42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0.1"/>
            <c:backward val="0.1"/>
            <c:dispRSqr val="0"/>
            <c:dispEq val="1"/>
            <c:trendlineLbl>
              <c:layout>
                <c:manualLayout>
                  <c:x val="-0.14164168247964984"/>
                  <c:y val="-5.2177600793553811E-2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'Расчет КПД турбина на режимах'!$B$50:$CQ$50</c:f>
              <c:numCache>
                <c:formatCode>General</c:formatCode>
                <c:ptCount val="94"/>
                <c:pt idx="0">
                  <c:v>0.99276281313618664</c:v>
                </c:pt>
                <c:pt idx="1">
                  <c:v>0.9932039448759632</c:v>
                </c:pt>
                <c:pt idx="2">
                  <c:v>0.34828202765741856</c:v>
                </c:pt>
                <c:pt idx="3">
                  <c:v>0.34796481473240765</c:v>
                </c:pt>
                <c:pt idx="4">
                  <c:v>0.34806017178528498</c:v>
                </c:pt>
                <c:pt idx="5">
                  <c:v>0.99465639490655444</c:v>
                </c:pt>
                <c:pt idx="6">
                  <c:v>0.99528301406138164</c:v>
                </c:pt>
                <c:pt idx="7">
                  <c:v>1</c:v>
                </c:pt>
                <c:pt idx="8">
                  <c:v>1.0003700631870267</c:v>
                </c:pt>
                <c:pt idx="9">
                  <c:v>1.0005381946637837</c:v>
                </c:pt>
                <c:pt idx="10">
                  <c:v>1.0108566940252215</c:v>
                </c:pt>
                <c:pt idx="11">
                  <c:v>1.0085621757650229</c:v>
                </c:pt>
                <c:pt idx="12">
                  <c:v>0.35252657844303298</c:v>
                </c:pt>
                <c:pt idx="13">
                  <c:v>0.35187167601003139</c:v>
                </c:pt>
                <c:pt idx="14">
                  <c:v>0.36075497538897394</c:v>
                </c:pt>
                <c:pt idx="15">
                  <c:v>1.4671097039715935</c:v>
                </c:pt>
                <c:pt idx="16">
                  <c:v>1.7958790692057403</c:v>
                </c:pt>
                <c:pt idx="17">
                  <c:v>1.8271780520340122</c:v>
                </c:pt>
                <c:pt idx="18">
                  <c:v>2.1623137047442129</c:v>
                </c:pt>
                <c:pt idx="19">
                  <c:v>2.2319070972667063</c:v>
                </c:pt>
                <c:pt idx="20">
                  <c:v>2.232213383406032</c:v>
                </c:pt>
                <c:pt idx="21">
                  <c:v>0.36209411466253166</c:v>
                </c:pt>
                <c:pt idx="22">
                  <c:v>1.1367670735183197</c:v>
                </c:pt>
                <c:pt idx="23">
                  <c:v>1.0722558524906796</c:v>
                </c:pt>
                <c:pt idx="24">
                  <c:v>1.0696235494814719</c:v>
                </c:pt>
                <c:pt idx="25">
                  <c:v>1.0729142943807373</c:v>
                </c:pt>
                <c:pt idx="26">
                  <c:v>1.0718695462834551</c:v>
                </c:pt>
                <c:pt idx="27">
                  <c:v>1.0772901228729597</c:v>
                </c:pt>
                <c:pt idx="28">
                  <c:v>1.086603341775461</c:v>
                </c:pt>
                <c:pt idx="29">
                  <c:v>1.1086755218109459</c:v>
                </c:pt>
                <c:pt idx="30">
                  <c:v>1.0751945109842516</c:v>
                </c:pt>
                <c:pt idx="31">
                  <c:v>0.37429423582350591</c:v>
                </c:pt>
                <c:pt idx="32">
                  <c:v>1.8597948984195021</c:v>
                </c:pt>
                <c:pt idx="33">
                  <c:v>1.1111299964990229</c:v>
                </c:pt>
                <c:pt idx="34">
                  <c:v>1.1192331368877571</c:v>
                </c:pt>
                <c:pt idx="35">
                  <c:v>1.0786255406088905</c:v>
                </c:pt>
                <c:pt idx="36">
                  <c:v>1.0783564964834613</c:v>
                </c:pt>
                <c:pt idx="37">
                  <c:v>1.0802898826614835</c:v>
                </c:pt>
                <c:pt idx="38">
                  <c:v>1.0828266559920539</c:v>
                </c:pt>
                <c:pt idx="39">
                  <c:v>1.0827084864222607</c:v>
                </c:pt>
                <c:pt idx="40">
                  <c:v>1.0950584322255235</c:v>
                </c:pt>
                <c:pt idx="41">
                  <c:v>1.1804874867019131</c:v>
                </c:pt>
                <c:pt idx="42">
                  <c:v>1.1752226369452856</c:v>
                </c:pt>
                <c:pt idx="43">
                  <c:v>1.6505591495442447</c:v>
                </c:pt>
                <c:pt idx="44">
                  <c:v>0.38340496423976933</c:v>
                </c:pt>
                <c:pt idx="45">
                  <c:v>1.1135531272770822</c:v>
                </c:pt>
                <c:pt idx="46">
                  <c:v>1.0853740205875406</c:v>
                </c:pt>
                <c:pt idx="59">
                  <c:v>1.6474734215569669</c:v>
                </c:pt>
                <c:pt idx="60">
                  <c:v>1.6481283239899687</c:v>
                </c:pt>
                <c:pt idx="61">
                  <c:v>1.6392450246110259</c:v>
                </c:pt>
                <c:pt idx="62">
                  <c:v>0.53289029602840654</c:v>
                </c:pt>
                <c:pt idx="63">
                  <c:v>0.20412093079425966</c:v>
                </c:pt>
                <c:pt idx="64">
                  <c:v>0.17282194796598779</c:v>
                </c:pt>
                <c:pt idx="65">
                  <c:v>-0.16231370474421281</c:v>
                </c:pt>
                <c:pt idx="66">
                  <c:v>-0.23190709726670647</c:v>
                </c:pt>
                <c:pt idx="67">
                  <c:v>-0.23221338340603193</c:v>
                </c:pt>
                <c:pt idx="68">
                  <c:v>1.6379058853374684</c:v>
                </c:pt>
                <c:pt idx="69">
                  <c:v>0.86323292648168026</c:v>
                </c:pt>
                <c:pt idx="78">
                  <c:v>1.6257057641764943</c:v>
                </c:pt>
                <c:pt idx="79">
                  <c:v>0.14020510158049801</c:v>
                </c:pt>
                <c:pt idx="80">
                  <c:v>0.888870003500977</c:v>
                </c:pt>
                <c:pt idx="81">
                  <c:v>0.88076686311224306</c:v>
                </c:pt>
                <c:pt idx="88">
                  <c:v>0.81951251329808683</c:v>
                </c:pt>
                <c:pt idx="89">
                  <c:v>0.82477736305471427</c:v>
                </c:pt>
                <c:pt idx="90">
                  <c:v>0.34944085045575535</c:v>
                </c:pt>
                <c:pt idx="91">
                  <c:v>1.6165950357602308</c:v>
                </c:pt>
                <c:pt idx="92">
                  <c:v>0.88644687272291778</c:v>
                </c:pt>
                <c:pt idx="93">
                  <c:v>0.91462597941245938</c:v>
                </c:pt>
              </c:numCache>
            </c:numRef>
          </c:xVal>
          <c:yVal>
            <c:numRef>
              <c:f>'Расчет КПД турбина на режимах'!$B$51:$CQ$51</c:f>
              <c:numCache>
                <c:formatCode>General</c:formatCode>
                <c:ptCount val="94"/>
                <c:pt idx="0">
                  <c:v>0.97942808106338797</c:v>
                </c:pt>
                <c:pt idx="1">
                  <c:v>0.98732829977827996</c:v>
                </c:pt>
                <c:pt idx="5">
                  <c:v>1.0017470120647767</c:v>
                </c:pt>
                <c:pt idx="6">
                  <c:v>1.0006082835191974</c:v>
                </c:pt>
                <c:pt idx="7">
                  <c:v>1</c:v>
                </c:pt>
                <c:pt idx="8">
                  <c:v>0.99943018374978565</c:v>
                </c:pt>
                <c:pt idx="9">
                  <c:v>0.99878171198140309</c:v>
                </c:pt>
                <c:pt idx="10">
                  <c:v>0.99779741670525723</c:v>
                </c:pt>
                <c:pt idx="11">
                  <c:v>0.99538616455540985</c:v>
                </c:pt>
                <c:pt idx="15">
                  <c:v>0.71794164777065683</c:v>
                </c:pt>
                <c:pt idx="16">
                  <c:v>0.66430366121625095</c:v>
                </c:pt>
                <c:pt idx="17">
                  <c:v>0.6606379369139983</c:v>
                </c:pt>
                <c:pt idx="18">
                  <c:v>0.65148820788121853</c:v>
                </c:pt>
                <c:pt idx="19">
                  <c:v>0.6986705514731788</c:v>
                </c:pt>
                <c:pt idx="20">
                  <c:v>0.6986705514731788</c:v>
                </c:pt>
                <c:pt idx="22">
                  <c:v>0.99832299801614499</c:v>
                </c:pt>
                <c:pt idx="23">
                  <c:v>0.99245668740165238</c:v>
                </c:pt>
                <c:pt idx="24">
                  <c:v>0.99829727583956607</c:v>
                </c:pt>
                <c:pt idx="25">
                  <c:v>0.99800666439620644</c:v>
                </c:pt>
                <c:pt idx="26">
                  <c:v>1.000705257368369</c:v>
                </c:pt>
                <c:pt idx="27">
                  <c:v>0.99894036790092899</c:v>
                </c:pt>
                <c:pt idx="28">
                  <c:v>0.99831516568828405</c:v>
                </c:pt>
                <c:pt idx="29">
                  <c:v>0.92386674565342863</c:v>
                </c:pt>
                <c:pt idx="30">
                  <c:v>0.94791018135169569</c:v>
                </c:pt>
                <c:pt idx="32">
                  <c:v>0.71636648430392158</c:v>
                </c:pt>
                <c:pt idx="33">
                  <c:v>0.99836040969565287</c:v>
                </c:pt>
                <c:pt idx="34">
                  <c:v>0.99733668984895441</c:v>
                </c:pt>
                <c:pt idx="35">
                  <c:v>0.98393126006719989</c:v>
                </c:pt>
                <c:pt idx="36">
                  <c:v>0.98435745371842409</c:v>
                </c:pt>
                <c:pt idx="37">
                  <c:v>0.98635835350851131</c:v>
                </c:pt>
                <c:pt idx="38">
                  <c:v>0.98476169666804447</c:v>
                </c:pt>
                <c:pt idx="39">
                  <c:v>0.99632088107956107</c:v>
                </c:pt>
                <c:pt idx="40">
                  <c:v>0.98256703563504355</c:v>
                </c:pt>
                <c:pt idx="41">
                  <c:v>0.89215861401057661</c:v>
                </c:pt>
                <c:pt idx="42">
                  <c:v>0.93271010666107923</c:v>
                </c:pt>
                <c:pt idx="43">
                  <c:v>0.81220413650913403</c:v>
                </c:pt>
                <c:pt idx="45">
                  <c:v>0.98338296877354425</c:v>
                </c:pt>
                <c:pt idx="46">
                  <c:v>0.98376755247755954</c:v>
                </c:pt>
                <c:pt idx="62">
                  <c:v>0.71794164777065683</c:v>
                </c:pt>
                <c:pt idx="63">
                  <c:v>0.66430366121625095</c:v>
                </c:pt>
                <c:pt idx="64">
                  <c:v>0.6606379369139983</c:v>
                </c:pt>
                <c:pt idx="65">
                  <c:v>0.65148820788121853</c:v>
                </c:pt>
                <c:pt idx="66">
                  <c:v>0.6986705514731788</c:v>
                </c:pt>
                <c:pt idx="67">
                  <c:v>0.6986705514731788</c:v>
                </c:pt>
                <c:pt idx="69">
                  <c:v>0.99832299801614499</c:v>
                </c:pt>
                <c:pt idx="79">
                  <c:v>0.71636648430392158</c:v>
                </c:pt>
                <c:pt idx="80">
                  <c:v>0.99836040969565287</c:v>
                </c:pt>
                <c:pt idx="81">
                  <c:v>0.99733668984895441</c:v>
                </c:pt>
                <c:pt idx="88">
                  <c:v>0.89215861401057661</c:v>
                </c:pt>
                <c:pt idx="89">
                  <c:v>0.93271010666107923</c:v>
                </c:pt>
                <c:pt idx="90">
                  <c:v>0.81220413650913403</c:v>
                </c:pt>
                <c:pt idx="92">
                  <c:v>0.98338296877354425</c:v>
                </c:pt>
                <c:pt idx="93">
                  <c:v>0.98376755247755954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6A-466C-9F4E-E814840F4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685408"/>
        <c:axId val="1454685824"/>
      </c:scatterChart>
      <c:valAx>
        <c:axId val="145468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4685824"/>
        <c:crosses val="autoZero"/>
        <c:crossBetween val="midCat"/>
      </c:valAx>
      <c:valAx>
        <c:axId val="145468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468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'Давление начальное'!$B$57:$N$57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'Давление начальное'!$B$58:$N$58</c:f>
              <c:numCache>
                <c:formatCode>General</c:formatCode>
                <c:ptCount val="13"/>
                <c:pt idx="0">
                  <c:v>0.68552999999999997</c:v>
                </c:pt>
                <c:pt idx="1">
                  <c:v>0.67684</c:v>
                </c:pt>
                <c:pt idx="2">
                  <c:v>0.67508000000000001</c:v>
                </c:pt>
                <c:pt idx="3">
                  <c:v>0.67410000000000003</c:v>
                </c:pt>
                <c:pt idx="4">
                  <c:v>0.67359999999999998</c:v>
                </c:pt>
                <c:pt idx="5">
                  <c:v>0.6734</c:v>
                </c:pt>
                <c:pt idx="6">
                  <c:v>0.67330000000000001</c:v>
                </c:pt>
                <c:pt idx="7">
                  <c:v>0.67320000000000002</c:v>
                </c:pt>
                <c:pt idx="8">
                  <c:v>0.67315000000000003</c:v>
                </c:pt>
                <c:pt idx="9">
                  <c:v>0.67290000000000005</c:v>
                </c:pt>
                <c:pt idx="10">
                  <c:v>0.67279999999999995</c:v>
                </c:pt>
                <c:pt idx="11">
                  <c:v>0.67274999999999996</c:v>
                </c:pt>
                <c:pt idx="12">
                  <c:v>0.67278000000000004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8C-45CD-9D9B-2734704E1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6112751"/>
        <c:axId val="1546126063"/>
      </c:scatterChart>
      <c:valAx>
        <c:axId val="154611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6126063"/>
        <c:crosses val="autoZero"/>
        <c:crossBetween val="midCat"/>
      </c:valAx>
      <c:valAx>
        <c:axId val="154612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611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'Давление начальное'!$B$57:$N$57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'Давление начальное'!$B$59:$N$59</c:f>
              <c:numCache>
                <c:formatCode>General</c:formatCode>
                <c:ptCount val="13"/>
                <c:pt idx="0">
                  <c:v>8.5081900000000008</c:v>
                </c:pt>
                <c:pt idx="1">
                  <c:v>8.4661100000000005</c:v>
                </c:pt>
                <c:pt idx="2">
                  <c:v>8.4453700000000005</c:v>
                </c:pt>
                <c:pt idx="3">
                  <c:v>8.4361200000000007</c:v>
                </c:pt>
                <c:pt idx="4">
                  <c:v>8.4320400000000006</c:v>
                </c:pt>
                <c:pt idx="5">
                  <c:v>8.4297900000000006</c:v>
                </c:pt>
                <c:pt idx="6">
                  <c:v>8.4291099999999997</c:v>
                </c:pt>
                <c:pt idx="7">
                  <c:v>8.4287600000000005</c:v>
                </c:pt>
                <c:pt idx="8">
                  <c:v>8.42849</c:v>
                </c:pt>
                <c:pt idx="9">
                  <c:v>8.4285800000000002</c:v>
                </c:pt>
                <c:pt idx="10">
                  <c:v>8.4286300000000001</c:v>
                </c:pt>
                <c:pt idx="11">
                  <c:v>8.4286600000000007</c:v>
                </c:pt>
                <c:pt idx="12">
                  <c:v>8.4284400000000002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1D-4444-B1BB-A5B341DA1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6112751"/>
        <c:axId val="1546126063"/>
      </c:scatterChart>
      <c:valAx>
        <c:axId val="154611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6126063"/>
        <c:crosses val="autoZero"/>
        <c:crossBetween val="midCat"/>
      </c:valAx>
      <c:valAx>
        <c:axId val="154612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611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'Расчет КПД турбина на режимах'!$B$48:$AV$48</c:f>
              <c:numCache>
                <c:formatCode>General</c:formatCode>
                <c:ptCount val="47"/>
                <c:pt idx="0">
                  <c:v>29.741948083613163</c:v>
                </c:pt>
                <c:pt idx="1">
                  <c:v>29.793537259541758</c:v>
                </c:pt>
                <c:pt idx="2">
                  <c:v>29.818130063451054</c:v>
                </c:pt>
                <c:pt idx="3">
                  <c:v>29.789619496384045</c:v>
                </c:pt>
                <c:pt idx="4">
                  <c:v>29.796392671058118</c:v>
                </c:pt>
                <c:pt idx="5">
                  <c:v>29.863881497114612</c:v>
                </c:pt>
                <c:pt idx="6">
                  <c:v>29.889084622682144</c:v>
                </c:pt>
                <c:pt idx="7">
                  <c:v>30.009702337828614</c:v>
                </c:pt>
                <c:pt idx="8">
                  <c:v>30.017453161448355</c:v>
                </c:pt>
                <c:pt idx="9">
                  <c:v>30.03308318131894</c:v>
                </c:pt>
                <c:pt idx="10">
                  <c:v>30.34746839801992</c:v>
                </c:pt>
                <c:pt idx="11">
                  <c:v>30.27999435813939</c:v>
                </c:pt>
                <c:pt idx="12">
                  <c:v>30.184668654397569</c:v>
                </c:pt>
                <c:pt idx="13">
                  <c:v>30.126573908576209</c:v>
                </c:pt>
                <c:pt idx="14">
                  <c:v>30.88821444659208</c:v>
                </c:pt>
                <c:pt idx="15">
                  <c:v>31.935044579851546</c:v>
                </c:pt>
                <c:pt idx="16">
                  <c:v>32.56641146921713</c:v>
                </c:pt>
                <c:pt idx="17">
                  <c:v>32.596219048548598</c:v>
                </c:pt>
                <c:pt idx="18">
                  <c:v>33.04682793511094</c:v>
                </c:pt>
                <c:pt idx="19">
                  <c:v>33.400197701152315</c:v>
                </c:pt>
                <c:pt idx="20">
                  <c:v>33.404781233154665</c:v>
                </c:pt>
                <c:pt idx="21">
                  <c:v>31.005981269460836</c:v>
                </c:pt>
                <c:pt idx="22">
                  <c:v>31.31249666296349</c:v>
                </c:pt>
                <c:pt idx="23">
                  <c:v>30.391621337785995</c:v>
                </c:pt>
                <c:pt idx="24">
                  <c:v>30.409717616825372</c:v>
                </c:pt>
                <c:pt idx="25">
                  <c:v>30.441706164849233</c:v>
                </c:pt>
                <c:pt idx="26">
                  <c:v>30.442476581311197</c:v>
                </c:pt>
                <c:pt idx="27">
                  <c:v>30.610652921867725</c:v>
                </c:pt>
                <c:pt idx="28">
                  <c:v>30.903873114178349</c:v>
                </c:pt>
                <c:pt idx="29">
                  <c:v>30.265885086480584</c:v>
                </c:pt>
                <c:pt idx="30">
                  <c:v>30.172364469810812</c:v>
                </c:pt>
                <c:pt idx="31">
                  <c:v>32.063673590427598</c:v>
                </c:pt>
                <c:pt idx="32">
                  <c:v>32.55514076543362</c:v>
                </c:pt>
                <c:pt idx="33">
                  <c:v>30.863036740481288</c:v>
                </c:pt>
                <c:pt idx="34">
                  <c:v>31.150753632331774</c:v>
                </c:pt>
                <c:pt idx="35">
                  <c:v>30.55908503798139</c:v>
                </c:pt>
                <c:pt idx="36">
                  <c:v>30.556835177770481</c:v>
                </c:pt>
                <c:pt idx="37">
                  <c:v>30.646114574938959</c:v>
                </c:pt>
                <c:pt idx="38">
                  <c:v>30.713431977341756</c:v>
                </c:pt>
                <c:pt idx="39">
                  <c:v>30.727339667166483</c:v>
                </c:pt>
                <c:pt idx="40">
                  <c:v>31.088722334147899</c:v>
                </c:pt>
                <c:pt idx="41">
                  <c:v>30.704678843818282</c:v>
                </c:pt>
                <c:pt idx="42">
                  <c:v>30.920554262714571</c:v>
                </c:pt>
                <c:pt idx="43">
                  <c:v>32.473707295469787</c:v>
                </c:pt>
                <c:pt idx="44">
                  <c:v>32.859944192627403</c:v>
                </c:pt>
                <c:pt idx="45">
                  <c:v>30.984549972073211</c:v>
                </c:pt>
                <c:pt idx="46">
                  <c:v>31.019671197241571</c:v>
                </c:pt>
              </c:numCache>
            </c:numRef>
          </c:xVal>
          <c:yVal>
            <c:numRef>
              <c:f>'Расчет КПД турбина на режимах'!$B$51:$AV$51</c:f>
              <c:numCache>
                <c:formatCode>General</c:formatCode>
                <c:ptCount val="47"/>
                <c:pt idx="0">
                  <c:v>0.97942808106338797</c:v>
                </c:pt>
                <c:pt idx="1">
                  <c:v>0.98732829977827996</c:v>
                </c:pt>
                <c:pt idx="5">
                  <c:v>1.0017470120647767</c:v>
                </c:pt>
                <c:pt idx="6">
                  <c:v>1.0006082835191974</c:v>
                </c:pt>
                <c:pt idx="7">
                  <c:v>1</c:v>
                </c:pt>
                <c:pt idx="8">
                  <c:v>0.99943018374978565</c:v>
                </c:pt>
                <c:pt idx="9">
                  <c:v>0.99878171198140309</c:v>
                </c:pt>
                <c:pt idx="10">
                  <c:v>0.99779741670525723</c:v>
                </c:pt>
                <c:pt idx="11">
                  <c:v>0.99538616455540985</c:v>
                </c:pt>
                <c:pt idx="15">
                  <c:v>0.71794164777065683</c:v>
                </c:pt>
                <c:pt idx="16">
                  <c:v>0.66430366121625095</c:v>
                </c:pt>
                <c:pt idx="17">
                  <c:v>0.6606379369139983</c:v>
                </c:pt>
                <c:pt idx="18">
                  <c:v>0.65148820788121853</c:v>
                </c:pt>
                <c:pt idx="19">
                  <c:v>0.6986705514731788</c:v>
                </c:pt>
                <c:pt idx="20">
                  <c:v>0.6986705514731788</c:v>
                </c:pt>
                <c:pt idx="22">
                  <c:v>0.99832299801614499</c:v>
                </c:pt>
                <c:pt idx="23">
                  <c:v>0.99245668740165238</c:v>
                </c:pt>
                <c:pt idx="24">
                  <c:v>0.99829727583956607</c:v>
                </c:pt>
                <c:pt idx="25">
                  <c:v>0.99800666439620644</c:v>
                </c:pt>
                <c:pt idx="26">
                  <c:v>1.000705257368369</c:v>
                </c:pt>
                <c:pt idx="27">
                  <c:v>0.99894036790092899</c:v>
                </c:pt>
                <c:pt idx="28">
                  <c:v>0.99831516568828405</c:v>
                </c:pt>
                <c:pt idx="29">
                  <c:v>0.92386674565342863</c:v>
                </c:pt>
                <c:pt idx="30">
                  <c:v>0.94791018135169569</c:v>
                </c:pt>
                <c:pt idx="32">
                  <c:v>0.71636648430392158</c:v>
                </c:pt>
                <c:pt idx="33">
                  <c:v>0.99836040969565287</c:v>
                </c:pt>
                <c:pt idx="34">
                  <c:v>0.99733668984895441</c:v>
                </c:pt>
                <c:pt idx="35">
                  <c:v>0.98393126006719989</c:v>
                </c:pt>
                <c:pt idx="36">
                  <c:v>0.98435745371842409</c:v>
                </c:pt>
                <c:pt idx="37">
                  <c:v>0.98635835350851131</c:v>
                </c:pt>
                <c:pt idx="38">
                  <c:v>0.98476169666804447</c:v>
                </c:pt>
                <c:pt idx="39">
                  <c:v>0.99632088107956107</c:v>
                </c:pt>
                <c:pt idx="40">
                  <c:v>0.98256703563504355</c:v>
                </c:pt>
                <c:pt idx="41">
                  <c:v>0.89215861401057661</c:v>
                </c:pt>
                <c:pt idx="42">
                  <c:v>0.93271010666107923</c:v>
                </c:pt>
                <c:pt idx="43">
                  <c:v>0.81220413650913403</c:v>
                </c:pt>
                <c:pt idx="45">
                  <c:v>0.98338296877354425</c:v>
                </c:pt>
                <c:pt idx="46">
                  <c:v>0.98376755247755954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B6-4DD2-811A-9F56DA57B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685408"/>
        <c:axId val="1454685824"/>
      </c:scatterChart>
      <c:valAx>
        <c:axId val="145468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4685824"/>
        <c:crosses val="autoZero"/>
        <c:crossBetween val="midCat"/>
      </c:valAx>
      <c:valAx>
        <c:axId val="145468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468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0.1"/>
            <c:backward val="0.1"/>
            <c:dispRSqr val="0"/>
            <c:dispEq val="1"/>
            <c:trendlineLbl>
              <c:layout>
                <c:manualLayout>
                  <c:x val="-4.1868110236220474E-2"/>
                  <c:y val="4.87164625255176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'Расчет КПД турбина на режимах'!$B$98:$AV$98</c:f>
              <c:numCache>
                <c:formatCode>General</c:formatCode>
                <c:ptCount val="47"/>
                <c:pt idx="0">
                  <c:v>1.0962300436225514</c:v>
                </c:pt>
                <c:pt idx="1">
                  <c:v>1.1071310260668019</c:v>
                </c:pt>
                <c:pt idx="2">
                  <c:v>0.95853105783438053</c:v>
                </c:pt>
                <c:pt idx="3">
                  <c:v>0.95939540102464582</c:v>
                </c:pt>
                <c:pt idx="4">
                  <c:v>0.84994785558669828</c:v>
                </c:pt>
                <c:pt idx="5">
                  <c:v>0.80203388263154696</c:v>
                </c:pt>
                <c:pt idx="6">
                  <c:v>0.80109234016154518</c:v>
                </c:pt>
                <c:pt idx="7">
                  <c:v>1</c:v>
                </c:pt>
                <c:pt idx="8">
                  <c:v>0.81790658212962619</c:v>
                </c:pt>
                <c:pt idx="9">
                  <c:v>0.65253760157635432</c:v>
                </c:pt>
                <c:pt idx="10">
                  <c:v>0.45290738407842307</c:v>
                </c:pt>
                <c:pt idx="11">
                  <c:v>0.38089186603268871</c:v>
                </c:pt>
                <c:pt idx="14">
                  <c:v>0.89529302532033606</c:v>
                </c:pt>
                <c:pt idx="15">
                  <c:v>0.19084527152469793</c:v>
                </c:pt>
                <c:pt idx="16">
                  <c:v>0.18829537514495967</c:v>
                </c:pt>
                <c:pt idx="17">
                  <c:v>0.18806101365022199</c:v>
                </c:pt>
                <c:pt idx="18">
                  <c:v>0.17912766386310702</c:v>
                </c:pt>
                <c:pt idx="19">
                  <c:v>0.12261245154420293</c:v>
                </c:pt>
                <c:pt idx="20">
                  <c:v>0.10196894825437787</c:v>
                </c:pt>
                <c:pt idx="21">
                  <c:v>0.52359759699458375</c:v>
                </c:pt>
                <c:pt idx="22">
                  <c:v>0.3325419402853847</c:v>
                </c:pt>
                <c:pt idx="23">
                  <c:v>1.1123375743152906</c:v>
                </c:pt>
                <c:pt idx="24">
                  <c:v>0.99906805827524625</c:v>
                </c:pt>
                <c:pt idx="25">
                  <c:v>0.9225977031259226</c:v>
                </c:pt>
                <c:pt idx="26">
                  <c:v>0.83475144983332117</c:v>
                </c:pt>
                <c:pt idx="27">
                  <c:v>0.69544136613749752</c:v>
                </c:pt>
                <c:pt idx="28">
                  <c:v>0.48408906797413292</c:v>
                </c:pt>
                <c:pt idx="31">
                  <c:v>0.27163564756381092</c:v>
                </c:pt>
                <c:pt idx="32">
                  <c:v>0.2483378255309511</c:v>
                </c:pt>
                <c:pt idx="33">
                  <c:v>0.47095571637740169</c:v>
                </c:pt>
                <c:pt idx="34">
                  <c:v>0.25063112933081461</c:v>
                </c:pt>
                <c:pt idx="35">
                  <c:v>1.1243826219617985</c:v>
                </c:pt>
                <c:pt idx="36">
                  <c:v>0.99645037879699239</c:v>
                </c:pt>
                <c:pt idx="37">
                  <c:v>0.91118193069236653</c:v>
                </c:pt>
                <c:pt idx="38">
                  <c:v>0.83952141520997225</c:v>
                </c:pt>
                <c:pt idx="39">
                  <c:v>0.67937513917227532</c:v>
                </c:pt>
                <c:pt idx="40">
                  <c:v>0.46222327497510307</c:v>
                </c:pt>
                <c:pt idx="43">
                  <c:v>0.27137182948701943</c:v>
                </c:pt>
                <c:pt idx="44">
                  <c:v>0.24866649809027541</c:v>
                </c:pt>
                <c:pt idx="45">
                  <c:v>0.29010108473059132</c:v>
                </c:pt>
                <c:pt idx="46">
                  <c:v>0.58923760982281526</c:v>
                </c:pt>
              </c:numCache>
            </c:numRef>
          </c:xVal>
          <c:yVal>
            <c:numRef>
              <c:f>'Расчет КПД турбина на режимах'!$B$100:$AV$100</c:f>
              <c:numCache>
                <c:formatCode>General</c:formatCode>
                <c:ptCount val="47"/>
                <c:pt idx="0">
                  <c:v>8.7216794302509726E-2</c:v>
                </c:pt>
                <c:pt idx="1">
                  <c:v>8.8613608302872793E-2</c:v>
                </c:pt>
                <c:pt idx="2">
                  <c:v>6.9836416808296442E-2</c:v>
                </c:pt>
                <c:pt idx="3">
                  <c:v>7.9977816815477332E-2</c:v>
                </c:pt>
                <c:pt idx="4">
                  <c:v>6.7511579604372707E-2</c:v>
                </c:pt>
                <c:pt idx="5">
                  <c:v>6.6108086927766263E-2</c:v>
                </c:pt>
                <c:pt idx="6">
                  <c:v>6.6232650627772727E-2</c:v>
                </c:pt>
                <c:pt idx="7">
                  <c:v>7.5959298250995011E-2</c:v>
                </c:pt>
                <c:pt idx="8">
                  <c:v>6.7990360679226036E-2</c:v>
                </c:pt>
                <c:pt idx="9">
                  <c:v>4.7710167394565905E-2</c:v>
                </c:pt>
                <c:pt idx="10">
                  <c:v>1.0428352281087738E-2</c:v>
                </c:pt>
                <c:pt idx="11">
                  <c:v>-1.1764183567905984E-2</c:v>
                </c:pt>
                <c:pt idx="14">
                  <c:v>0</c:v>
                </c:pt>
                <c:pt idx="15">
                  <c:v>-0.21311949437045163</c:v>
                </c:pt>
                <c:pt idx="16">
                  <c:v>-0.20745911663135541</c:v>
                </c:pt>
                <c:pt idx="17">
                  <c:v>-0.20579668368347759</c:v>
                </c:pt>
                <c:pt idx="18">
                  <c:v>-0.43194438808190871</c:v>
                </c:pt>
                <c:pt idx="19">
                  <c:v>-0.51559474043107989</c:v>
                </c:pt>
                <c:pt idx="20">
                  <c:v>-0.86672995043517065</c:v>
                </c:pt>
                <c:pt idx="21">
                  <c:v>3.7851554032470425E-2</c:v>
                </c:pt>
                <c:pt idx="22">
                  <c:v>-2.4350173837666911E-2</c:v>
                </c:pt>
                <c:pt idx="23">
                  <c:v>5.7384160817462448E-2</c:v>
                </c:pt>
                <c:pt idx="24">
                  <c:v>5.196377492070936E-2</c:v>
                </c:pt>
                <c:pt idx="25">
                  <c:v>4.672192969817579E-2</c:v>
                </c:pt>
                <c:pt idx="26">
                  <c:v>3.2821838617129284E-2</c:v>
                </c:pt>
                <c:pt idx="27">
                  <c:v>1.1718518831459357E-2</c:v>
                </c:pt>
                <c:pt idx="28">
                  <c:v>-3.3274323579740028E-2</c:v>
                </c:pt>
                <c:pt idx="31">
                  <c:v>-0.25468856595901623</c:v>
                </c:pt>
                <c:pt idx="32">
                  <c:v>-0.29484891342987585</c:v>
                </c:pt>
                <c:pt idx="33">
                  <c:v>-5.4801019766711367E-2</c:v>
                </c:pt>
                <c:pt idx="34">
                  <c:v>-0.34686535549886216</c:v>
                </c:pt>
                <c:pt idx="35">
                  <c:v>6.2815441508156766E-2</c:v>
                </c:pt>
                <c:pt idx="36">
                  <c:v>5.5757207076753801E-2</c:v>
                </c:pt>
                <c:pt idx="37">
                  <c:v>4.8429941914957864E-2</c:v>
                </c:pt>
                <c:pt idx="38">
                  <c:v>4.1073533447316235E-2</c:v>
                </c:pt>
                <c:pt idx="39">
                  <c:v>1.0087756642039203E-2</c:v>
                </c:pt>
                <c:pt idx="40">
                  <c:v>-4.4850957687101678E-2</c:v>
                </c:pt>
                <c:pt idx="43">
                  <c:v>-0.24613082519036411</c:v>
                </c:pt>
                <c:pt idx="44">
                  <c:v>-0.28733090797725569</c:v>
                </c:pt>
                <c:pt idx="45">
                  <c:v>-0.20135699275769892</c:v>
                </c:pt>
                <c:pt idx="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64-4057-9B72-276BECD70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467344"/>
        <c:axId val="1442486896"/>
      </c:scatterChart>
      <c:valAx>
        <c:axId val="144246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2486896"/>
        <c:crosses val="autoZero"/>
        <c:crossBetween val="midCat"/>
      </c:valAx>
      <c:valAx>
        <c:axId val="144248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246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'Расчет КПД турбина на режимах'!$L$160</c:f>
              <c:strCache>
                <c:ptCount val="1"/>
                <c:pt idx="0">
                  <c:v>KPD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2"/>
            <c:dispRSqr val="0"/>
            <c:dispEq val="1"/>
            <c:trendlineLbl>
              <c:layout>
                <c:manualLayout>
                  <c:x val="2.1189307615477968E-2"/>
                  <c:y val="0.136497830419213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'Расчет КПД турбина на режимах'!$M$159:$U$159</c:f>
              <c:numCache>
                <c:formatCode>General</c:formatCode>
                <c:ptCount val="9"/>
                <c:pt idx="0">
                  <c:v>80</c:v>
                </c:pt>
                <c:pt idx="1">
                  <c:v>70</c:v>
                </c:pt>
                <c:pt idx="2">
                  <c:v>60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  <c:pt idx="6">
                  <c:v>20</c:v>
                </c:pt>
                <c:pt idx="7">
                  <c:v>10</c:v>
                </c:pt>
                <c:pt idx="8">
                  <c:v>0</c:v>
                </c:pt>
              </c:numCache>
            </c:numRef>
          </c:xVal>
          <c:yVal>
            <c:numRef>
              <c:f>'Расчет КПД турбина на режимах'!$M$160:$U$160</c:f>
              <c:numCache>
                <c:formatCode>General</c:formatCode>
                <c:ptCount val="9"/>
                <c:pt idx="0">
                  <c:v>70</c:v>
                </c:pt>
                <c:pt idx="1">
                  <c:v>73</c:v>
                </c:pt>
                <c:pt idx="2">
                  <c:v>74</c:v>
                </c:pt>
                <c:pt idx="3">
                  <c:v>74</c:v>
                </c:pt>
                <c:pt idx="4">
                  <c:v>70</c:v>
                </c:pt>
                <c:pt idx="5">
                  <c:v>62</c:v>
                </c:pt>
                <c:pt idx="6">
                  <c:v>48</c:v>
                </c:pt>
                <c:pt idx="7">
                  <c:v>20</c:v>
                </c:pt>
                <c:pt idx="8">
                  <c:v>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4B-4532-A139-43AFB57C4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246816"/>
        <c:axId val="1859832368"/>
      </c:scatterChart>
      <c:valAx>
        <c:axId val="17842468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9832368"/>
        <c:crosses val="autoZero"/>
        <c:crossBetween val="midCat"/>
      </c:valAx>
      <c:valAx>
        <c:axId val="1859832368"/>
        <c:scaling>
          <c:orientation val="minMax"/>
          <c:max val="8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424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'Расчет КПД турбина на режимах'!$L$160</c:f>
              <c:strCache>
                <c:ptCount val="1"/>
                <c:pt idx="0">
                  <c:v>KPD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2"/>
            <c:dispRSqr val="0"/>
            <c:dispEq val="1"/>
            <c:trendlineLbl>
              <c:layout>
                <c:manualLayout>
                  <c:x val="-9.5768664872871595E-4"/>
                  <c:y val="-8.0910865322055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'Расчет КПД турбина на режимах'!$M$161:$U$161</c:f>
              <c:numCache>
                <c:formatCode>General</c:formatCode>
                <c:ptCount val="9"/>
                <c:pt idx="0">
                  <c:v>1</c:v>
                </c:pt>
                <c:pt idx="1">
                  <c:v>0.875</c:v>
                </c:pt>
                <c:pt idx="2">
                  <c:v>0.75</c:v>
                </c:pt>
                <c:pt idx="3">
                  <c:v>0.625</c:v>
                </c:pt>
                <c:pt idx="4">
                  <c:v>0.5</c:v>
                </c:pt>
                <c:pt idx="5">
                  <c:v>0.375</c:v>
                </c:pt>
                <c:pt idx="6">
                  <c:v>0.25</c:v>
                </c:pt>
                <c:pt idx="7">
                  <c:v>0.125</c:v>
                </c:pt>
                <c:pt idx="8">
                  <c:v>0</c:v>
                </c:pt>
              </c:numCache>
            </c:numRef>
          </c:xVal>
          <c:yVal>
            <c:numRef>
              <c:f>'Расчет КПД турбина на режимах'!$M$162:$U$162</c:f>
              <c:numCache>
                <c:formatCode>General</c:formatCode>
                <c:ptCount val="9"/>
                <c:pt idx="0">
                  <c:v>1</c:v>
                </c:pt>
                <c:pt idx="1">
                  <c:v>1.0428571428571429</c:v>
                </c:pt>
                <c:pt idx="2">
                  <c:v>1.0571428571428572</c:v>
                </c:pt>
                <c:pt idx="3">
                  <c:v>1.0571428571428572</c:v>
                </c:pt>
                <c:pt idx="4">
                  <c:v>1</c:v>
                </c:pt>
                <c:pt idx="5">
                  <c:v>0.88571428571428568</c:v>
                </c:pt>
                <c:pt idx="6">
                  <c:v>0.68571428571428572</c:v>
                </c:pt>
                <c:pt idx="7">
                  <c:v>0.2857142857142857</c:v>
                </c:pt>
                <c:pt idx="8">
                  <c:v>-0.21428571428571427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59-4842-B9F0-0AEDCE068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246816"/>
        <c:axId val="1859832368"/>
      </c:scatterChart>
      <c:valAx>
        <c:axId val="1784246816"/>
        <c:scaling>
          <c:orientation val="minMax"/>
          <c:max val="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9832368"/>
        <c:crosses val="autoZero"/>
        <c:crossBetween val="midCat"/>
      </c:valAx>
      <c:valAx>
        <c:axId val="1859832368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424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Турбина!$C$61:$Z$61</c:f>
              <c:numCache>
                <c:formatCode>General</c:formatCode>
                <c:ptCount val="24"/>
                <c:pt idx="0">
                  <c:v>129.42238652846399</c:v>
                </c:pt>
                <c:pt idx="1">
                  <c:v>129.53292601939145</c:v>
                </c:pt>
                <c:pt idx="2">
                  <c:v>129.31083612288003</c:v>
                </c:pt>
                <c:pt idx="3">
                  <c:v>129.49051611903923</c:v>
                </c:pt>
                <c:pt idx="4">
                  <c:v>128.7935048012024</c:v>
                </c:pt>
                <c:pt idx="5">
                  <c:v>127.0756577405991</c:v>
                </c:pt>
                <c:pt idx="6">
                  <c:v>129.78959637693708</c:v>
                </c:pt>
                <c:pt idx="7">
                  <c:v>129.80517084414842</c:v>
                </c:pt>
                <c:pt idx="8">
                  <c:v>129.60344426049951</c:v>
                </c:pt>
                <c:pt idx="9">
                  <c:v>129.53823435497904</c:v>
                </c:pt>
                <c:pt idx="10">
                  <c:v>129.4935320971388</c:v>
                </c:pt>
                <c:pt idx="11">
                  <c:v>127.55488549149568</c:v>
                </c:pt>
                <c:pt idx="12">
                  <c:v>87.221989050777708</c:v>
                </c:pt>
                <c:pt idx="13">
                  <c:v>87.270517107270095</c:v>
                </c:pt>
                <c:pt idx="14">
                  <c:v>88.897764205826419</c:v>
                </c:pt>
                <c:pt idx="15">
                  <c:v>87.435795378206393</c:v>
                </c:pt>
                <c:pt idx="16">
                  <c:v>87.247001574567491</c:v>
                </c:pt>
                <c:pt idx="17">
                  <c:v>87.329085178016712</c:v>
                </c:pt>
                <c:pt idx="18">
                  <c:v>87.228316960183705</c:v>
                </c:pt>
                <c:pt idx="19">
                  <c:v>87.660361072656244</c:v>
                </c:pt>
                <c:pt idx="20">
                  <c:v>87.500349347632792</c:v>
                </c:pt>
                <c:pt idx="21">
                  <c:v>87.273434801362498</c:v>
                </c:pt>
                <c:pt idx="22">
                  <c:v>86.848582224808922</c:v>
                </c:pt>
                <c:pt idx="23">
                  <c:v>86.602627383410564</c:v>
                </c:pt>
              </c:numCache>
            </c:numRef>
          </c:xVal>
          <c:yVal>
            <c:numRef>
              <c:f>Турбина!$C$62:$Z$62</c:f>
              <c:numCache>
                <c:formatCode>General</c:formatCode>
                <c:ptCount val="24"/>
                <c:pt idx="0">
                  <c:v>0.71285737734156329</c:v>
                </c:pt>
                <c:pt idx="1">
                  <c:v>0.71176006042473139</c:v>
                </c:pt>
                <c:pt idx="2">
                  <c:v>0.71299110674531008</c:v>
                </c:pt>
                <c:pt idx="3">
                  <c:v>0.71367701457000521</c:v>
                </c:pt>
                <c:pt idx="4">
                  <c:v>0.7249714436813629</c:v>
                </c:pt>
                <c:pt idx="5">
                  <c:v>0.72923320414461013</c:v>
                </c:pt>
                <c:pt idx="6">
                  <c:v>0.71816913659243165</c:v>
                </c:pt>
                <c:pt idx="7">
                  <c:v>0.71628874448890889</c:v>
                </c:pt>
                <c:pt idx="8">
                  <c:v>0.71605259824407563</c:v>
                </c:pt>
                <c:pt idx="9">
                  <c:v>0.72229729084584471</c:v>
                </c:pt>
                <c:pt idx="10">
                  <c:v>0.72678745360735753</c:v>
                </c:pt>
                <c:pt idx="11">
                  <c:v>0.72613217584188605</c:v>
                </c:pt>
                <c:pt idx="12">
                  <c:v>0.71841941437485812</c:v>
                </c:pt>
                <c:pt idx="13">
                  <c:v>0.71746257219888998</c:v>
                </c:pt>
                <c:pt idx="14">
                  <c:v>0.72835487464792881</c:v>
                </c:pt>
                <c:pt idx="15">
                  <c:v>0.71895959943997345</c:v>
                </c:pt>
                <c:pt idx="16">
                  <c:v>0.72530650083312076</c:v>
                </c:pt>
                <c:pt idx="17">
                  <c:v>0.72311342744817164</c:v>
                </c:pt>
                <c:pt idx="18">
                  <c:v>0.72300195758193919</c:v>
                </c:pt>
                <c:pt idx="19">
                  <c:v>0.72627003017833369</c:v>
                </c:pt>
                <c:pt idx="20">
                  <c:v>0.72261212015984089</c:v>
                </c:pt>
                <c:pt idx="21">
                  <c:v>0.72846324413208419</c:v>
                </c:pt>
                <c:pt idx="22">
                  <c:v>0.73580709461544236</c:v>
                </c:pt>
                <c:pt idx="23">
                  <c:v>0.73822114038813613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74-4A6E-AD7C-A6A8BFA0F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012912"/>
        <c:axId val="1197019152"/>
      </c:scatterChart>
      <c:valAx>
        <c:axId val="1197012912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7019152"/>
        <c:crosses val="autoZero"/>
        <c:crossBetween val="midCat"/>
      </c:valAx>
      <c:valAx>
        <c:axId val="119701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701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4046347331583551"/>
                  <c:y val="-9.68030037911927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'Давление начальное'!$A$4:$AU$4</c:f>
              <c:numCache>
                <c:formatCode>General</c:formatCode>
                <c:ptCount val="47"/>
                <c:pt idx="0">
                  <c:v>1.0194521635569671</c:v>
                </c:pt>
                <c:pt idx="1">
                  <c:v>1.0341405319571257</c:v>
                </c:pt>
                <c:pt idx="2">
                  <c:v>1.0446605795950772</c:v>
                </c:pt>
                <c:pt idx="3">
                  <c:v>1.0549821357681619</c:v>
                </c:pt>
                <c:pt idx="4">
                  <c:v>1.0361254466057959</c:v>
                </c:pt>
                <c:pt idx="5">
                  <c:v>1.0343390234219929</c:v>
                </c:pt>
                <c:pt idx="6">
                  <c:v>0.98173878523223501</c:v>
                </c:pt>
                <c:pt idx="7">
                  <c:v>0.8973799126637555</c:v>
                </c:pt>
                <c:pt idx="8">
                  <c:v>0.8973799126637555</c:v>
                </c:pt>
                <c:pt idx="9">
                  <c:v>0.98173878523223501</c:v>
                </c:pt>
                <c:pt idx="10">
                  <c:v>0.8973799126637555</c:v>
                </c:pt>
                <c:pt idx="11">
                  <c:v>1.0246129416435095</c:v>
                </c:pt>
                <c:pt idx="12">
                  <c:v>1.0194521635569671</c:v>
                </c:pt>
                <c:pt idx="13">
                  <c:v>1.0341405319571257</c:v>
                </c:pt>
                <c:pt idx="14">
                  <c:v>1.0446605795950772</c:v>
                </c:pt>
                <c:pt idx="15">
                  <c:v>1.0549821357681619</c:v>
                </c:pt>
                <c:pt idx="16">
                  <c:v>1.0361254466057959</c:v>
                </c:pt>
                <c:pt idx="17">
                  <c:v>1.0343390234219929</c:v>
                </c:pt>
                <c:pt idx="18">
                  <c:v>1</c:v>
                </c:pt>
                <c:pt idx="19">
                  <c:v>0.98173878523223501</c:v>
                </c:pt>
                <c:pt idx="20">
                  <c:v>0.98173878523223501</c:v>
                </c:pt>
                <c:pt idx="21">
                  <c:v>0.8973799126637555</c:v>
                </c:pt>
                <c:pt idx="22">
                  <c:v>0.8973799126637555</c:v>
                </c:pt>
                <c:pt idx="23">
                  <c:v>0.85629217943628422</c:v>
                </c:pt>
                <c:pt idx="24">
                  <c:v>0.86840015879317189</c:v>
                </c:pt>
                <c:pt idx="25">
                  <c:v>0.88844779674473995</c:v>
                </c:pt>
                <c:pt idx="26">
                  <c:v>0.87614132592298521</c:v>
                </c:pt>
                <c:pt idx="27">
                  <c:v>0.83009130607383874</c:v>
                </c:pt>
                <c:pt idx="28">
                  <c:v>0.75823739579198091</c:v>
                </c:pt>
                <c:pt idx="29">
                  <c:v>0.85629217943628422</c:v>
                </c:pt>
                <c:pt idx="30">
                  <c:v>0.86840015879317189</c:v>
                </c:pt>
                <c:pt idx="31">
                  <c:v>0.88844779674473995</c:v>
                </c:pt>
                <c:pt idx="32">
                  <c:v>0.87614132592298521</c:v>
                </c:pt>
                <c:pt idx="33">
                  <c:v>0.83009130607383874</c:v>
                </c:pt>
                <c:pt idx="34">
                  <c:v>0.75823739579198091</c:v>
                </c:pt>
                <c:pt idx="35">
                  <c:v>0.7086145295752283</c:v>
                </c:pt>
                <c:pt idx="36">
                  <c:v>0.7185391028185788</c:v>
                </c:pt>
                <c:pt idx="37">
                  <c:v>0.73481540293767367</c:v>
                </c:pt>
                <c:pt idx="38">
                  <c:v>0.7288606589916633</c:v>
                </c:pt>
                <c:pt idx="39">
                  <c:v>0.69015482334259626</c:v>
                </c:pt>
                <c:pt idx="40">
                  <c:v>0.6304088924176261</c:v>
                </c:pt>
                <c:pt idx="41">
                  <c:v>0.7086145295752283</c:v>
                </c:pt>
                <c:pt idx="42">
                  <c:v>0.7185391028185788</c:v>
                </c:pt>
                <c:pt idx="43">
                  <c:v>0.73481540293767367</c:v>
                </c:pt>
                <c:pt idx="44">
                  <c:v>0.7288606589916633</c:v>
                </c:pt>
                <c:pt idx="45">
                  <c:v>0.69015482334259626</c:v>
                </c:pt>
                <c:pt idx="46">
                  <c:v>0.6304088924176261</c:v>
                </c:pt>
              </c:numCache>
            </c:numRef>
          </c:xVal>
          <c:yVal>
            <c:numRef>
              <c:f>'Давление начальное'!$A$5:$AU$5</c:f>
              <c:numCache>
                <c:formatCode>General</c:formatCode>
                <c:ptCount val="47"/>
                <c:pt idx="0">
                  <c:v>8.01</c:v>
                </c:pt>
                <c:pt idx="1">
                  <c:v>8.2270000000000003</c:v>
                </c:pt>
                <c:pt idx="2">
                  <c:v>8.3719999999999999</c:v>
                </c:pt>
                <c:pt idx="3">
                  <c:v>8.5370000000000008</c:v>
                </c:pt>
                <c:pt idx="4">
                  <c:v>8.4640000000000004</c:v>
                </c:pt>
                <c:pt idx="5">
                  <c:v>8.4570000000000007</c:v>
                </c:pt>
                <c:pt idx="6">
                  <c:v>8.2729999999999997</c:v>
                </c:pt>
                <c:pt idx="7">
                  <c:v>8.0440000000000005</c:v>
                </c:pt>
                <c:pt idx="8">
                  <c:v>8.0440000000000005</c:v>
                </c:pt>
                <c:pt idx="9">
                  <c:v>8.2729999999999997</c:v>
                </c:pt>
                <c:pt idx="10">
                  <c:v>8.0440000000000005</c:v>
                </c:pt>
                <c:pt idx="11">
                  <c:v>8.0250000000000004</c:v>
                </c:pt>
                <c:pt idx="12">
                  <c:v>8.0109999999999992</c:v>
                </c:pt>
                <c:pt idx="13">
                  <c:v>8.2240000000000002</c:v>
                </c:pt>
                <c:pt idx="14">
                  <c:v>8.3719999999999999</c:v>
                </c:pt>
                <c:pt idx="15">
                  <c:v>8.5359999999999996</c:v>
                </c:pt>
                <c:pt idx="16">
                  <c:v>8.4640000000000004</c:v>
                </c:pt>
                <c:pt idx="17">
                  <c:v>8.4570000000000007</c:v>
                </c:pt>
                <c:pt idx="18">
                  <c:v>8.407</c:v>
                </c:pt>
                <c:pt idx="19">
                  <c:v>8.2729999999999997</c:v>
                </c:pt>
                <c:pt idx="20">
                  <c:v>8.2729999999999997</c:v>
                </c:pt>
                <c:pt idx="21">
                  <c:v>8.0429999999999993</c:v>
                </c:pt>
                <c:pt idx="22">
                  <c:v>8.0429999999999993</c:v>
                </c:pt>
                <c:pt idx="23">
                  <c:v>6.83</c:v>
                </c:pt>
                <c:pt idx="24">
                  <c:v>7.0069999999999997</c:v>
                </c:pt>
                <c:pt idx="25">
                  <c:v>7.2869999999999999</c:v>
                </c:pt>
                <c:pt idx="26">
                  <c:v>7.2510000000000003</c:v>
                </c:pt>
                <c:pt idx="27">
                  <c:v>7.08</c:v>
                </c:pt>
                <c:pt idx="28">
                  <c:v>6.8680000000000003</c:v>
                </c:pt>
                <c:pt idx="29">
                  <c:v>6.83</c:v>
                </c:pt>
                <c:pt idx="30">
                  <c:v>7.0069999999999997</c:v>
                </c:pt>
                <c:pt idx="31">
                  <c:v>7.2869999999999999</c:v>
                </c:pt>
                <c:pt idx="32">
                  <c:v>7.2510000000000003</c:v>
                </c:pt>
                <c:pt idx="33">
                  <c:v>7.08</c:v>
                </c:pt>
                <c:pt idx="34">
                  <c:v>6.8680000000000003</c:v>
                </c:pt>
                <c:pt idx="35">
                  <c:v>5.5270000000000001</c:v>
                </c:pt>
                <c:pt idx="36">
                  <c:v>5.6689999999999996</c:v>
                </c:pt>
                <c:pt idx="37">
                  <c:v>5.8840000000000003</c:v>
                </c:pt>
                <c:pt idx="38">
                  <c:v>5.8849999999999998</c:v>
                </c:pt>
                <c:pt idx="39">
                  <c:v>5.7469999999999999</c:v>
                </c:pt>
                <c:pt idx="40">
                  <c:v>5.5739999999999998</c:v>
                </c:pt>
                <c:pt idx="41">
                  <c:v>5.5270000000000001</c:v>
                </c:pt>
                <c:pt idx="42">
                  <c:v>5.6689999999999996</c:v>
                </c:pt>
                <c:pt idx="43">
                  <c:v>5.8840000000000003</c:v>
                </c:pt>
                <c:pt idx="44">
                  <c:v>5.8849999999999998</c:v>
                </c:pt>
                <c:pt idx="45">
                  <c:v>5.7469999999999999</c:v>
                </c:pt>
                <c:pt idx="46">
                  <c:v>5.5739999999999998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4E-4672-9C8D-279771D96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638944"/>
        <c:axId val="1769636448"/>
      </c:scatterChart>
      <c:valAx>
        <c:axId val="176963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9636448"/>
        <c:crosses val="autoZero"/>
        <c:crossBetween val="midCat"/>
      </c:valAx>
      <c:valAx>
        <c:axId val="1769636448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963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4046347331583551"/>
                  <c:y val="-9.68030037911927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'Давление начальное'!$A$4:$AU$4</c:f>
              <c:numCache>
                <c:formatCode>General</c:formatCode>
                <c:ptCount val="47"/>
                <c:pt idx="0">
                  <c:v>1.0194521635569671</c:v>
                </c:pt>
                <c:pt idx="1">
                  <c:v>1.0341405319571257</c:v>
                </c:pt>
                <c:pt idx="2">
                  <c:v>1.0446605795950772</c:v>
                </c:pt>
                <c:pt idx="3">
                  <c:v>1.0549821357681619</c:v>
                </c:pt>
                <c:pt idx="4">
                  <c:v>1.0361254466057959</c:v>
                </c:pt>
                <c:pt idx="5">
                  <c:v>1.0343390234219929</c:v>
                </c:pt>
                <c:pt idx="6">
                  <c:v>0.98173878523223501</c:v>
                </c:pt>
                <c:pt idx="7">
                  <c:v>0.8973799126637555</c:v>
                </c:pt>
                <c:pt idx="8">
                  <c:v>0.8973799126637555</c:v>
                </c:pt>
                <c:pt idx="9">
                  <c:v>0.98173878523223501</c:v>
                </c:pt>
                <c:pt idx="10">
                  <c:v>0.8973799126637555</c:v>
                </c:pt>
                <c:pt idx="11">
                  <c:v>1.0246129416435095</c:v>
                </c:pt>
                <c:pt idx="12">
                  <c:v>1.0194521635569671</c:v>
                </c:pt>
                <c:pt idx="13">
                  <c:v>1.0341405319571257</c:v>
                </c:pt>
                <c:pt idx="14">
                  <c:v>1.0446605795950772</c:v>
                </c:pt>
                <c:pt idx="15">
                  <c:v>1.0549821357681619</c:v>
                </c:pt>
                <c:pt idx="16">
                  <c:v>1.0361254466057959</c:v>
                </c:pt>
                <c:pt idx="17">
                  <c:v>1.0343390234219929</c:v>
                </c:pt>
                <c:pt idx="18">
                  <c:v>1</c:v>
                </c:pt>
                <c:pt idx="19">
                  <c:v>0.98173878523223501</c:v>
                </c:pt>
                <c:pt idx="20">
                  <c:v>0.98173878523223501</c:v>
                </c:pt>
                <c:pt idx="21">
                  <c:v>0.8973799126637555</c:v>
                </c:pt>
                <c:pt idx="22">
                  <c:v>0.8973799126637555</c:v>
                </c:pt>
                <c:pt idx="23">
                  <c:v>0.85629217943628422</c:v>
                </c:pt>
                <c:pt idx="24">
                  <c:v>0.86840015879317189</c:v>
                </c:pt>
                <c:pt idx="25">
                  <c:v>0.88844779674473995</c:v>
                </c:pt>
                <c:pt idx="26">
                  <c:v>0.87614132592298521</c:v>
                </c:pt>
                <c:pt idx="27">
                  <c:v>0.83009130607383874</c:v>
                </c:pt>
                <c:pt idx="28">
                  <c:v>0.75823739579198091</c:v>
                </c:pt>
                <c:pt idx="29">
                  <c:v>0.85629217943628422</c:v>
                </c:pt>
                <c:pt idx="30">
                  <c:v>0.86840015879317189</c:v>
                </c:pt>
                <c:pt idx="31">
                  <c:v>0.88844779674473995</c:v>
                </c:pt>
                <c:pt idx="32">
                  <c:v>0.87614132592298521</c:v>
                </c:pt>
                <c:pt idx="33">
                  <c:v>0.83009130607383874</c:v>
                </c:pt>
                <c:pt idx="34">
                  <c:v>0.75823739579198091</c:v>
                </c:pt>
                <c:pt idx="35">
                  <c:v>0.7086145295752283</c:v>
                </c:pt>
                <c:pt idx="36">
                  <c:v>0.7185391028185788</c:v>
                </c:pt>
                <c:pt idx="37">
                  <c:v>0.73481540293767367</c:v>
                </c:pt>
                <c:pt idx="38">
                  <c:v>0.7288606589916633</c:v>
                </c:pt>
                <c:pt idx="39">
                  <c:v>0.69015482334259626</c:v>
                </c:pt>
                <c:pt idx="40">
                  <c:v>0.6304088924176261</c:v>
                </c:pt>
                <c:pt idx="41">
                  <c:v>0.7086145295752283</c:v>
                </c:pt>
                <c:pt idx="42">
                  <c:v>0.7185391028185788</c:v>
                </c:pt>
                <c:pt idx="43">
                  <c:v>0.73481540293767367</c:v>
                </c:pt>
                <c:pt idx="44">
                  <c:v>0.7288606589916633</c:v>
                </c:pt>
                <c:pt idx="45">
                  <c:v>0.69015482334259626</c:v>
                </c:pt>
                <c:pt idx="46">
                  <c:v>0.6304088924176261</c:v>
                </c:pt>
              </c:numCache>
            </c:numRef>
          </c:xVal>
          <c:yVal>
            <c:numRef>
              <c:f>'Давление начальное'!$A$6:$AU$6</c:f>
              <c:numCache>
                <c:formatCode>General</c:formatCode>
                <c:ptCount val="47"/>
                <c:pt idx="0">
                  <c:v>0.68100000000000005</c:v>
                </c:pt>
                <c:pt idx="1">
                  <c:v>0.69599999999999995</c:v>
                </c:pt>
                <c:pt idx="2">
                  <c:v>0.69299999999999995</c:v>
                </c:pt>
                <c:pt idx="3">
                  <c:v>0.68500000000000005</c:v>
                </c:pt>
                <c:pt idx="4">
                  <c:v>0.66800000000000004</c:v>
                </c:pt>
                <c:pt idx="5">
                  <c:v>0.66700000000000004</c:v>
                </c:pt>
                <c:pt idx="6">
                  <c:v>0.63600000000000001</c:v>
                </c:pt>
                <c:pt idx="7">
                  <c:v>0.6</c:v>
                </c:pt>
                <c:pt idx="8">
                  <c:v>0.6</c:v>
                </c:pt>
                <c:pt idx="9">
                  <c:v>0.66400000000000003</c:v>
                </c:pt>
                <c:pt idx="10">
                  <c:v>0.627</c:v>
                </c:pt>
                <c:pt idx="11">
                  <c:v>0.68700000000000006</c:v>
                </c:pt>
                <c:pt idx="12">
                  <c:v>0.68400000000000005</c:v>
                </c:pt>
                <c:pt idx="13">
                  <c:v>0.69699999999999995</c:v>
                </c:pt>
                <c:pt idx="14">
                  <c:v>0.70599999999999996</c:v>
                </c:pt>
                <c:pt idx="15">
                  <c:v>0.71599999999999997</c:v>
                </c:pt>
                <c:pt idx="16">
                  <c:v>0.70699999999999996</c:v>
                </c:pt>
                <c:pt idx="17">
                  <c:v>0.70599999999999996</c:v>
                </c:pt>
                <c:pt idx="18">
                  <c:v>0.69099999999999995</c:v>
                </c:pt>
                <c:pt idx="19">
                  <c:v>0.68</c:v>
                </c:pt>
                <c:pt idx="20">
                  <c:v>0.68100000000000005</c:v>
                </c:pt>
                <c:pt idx="21">
                  <c:v>0.64400000000000002</c:v>
                </c:pt>
                <c:pt idx="22">
                  <c:v>0.64400000000000002</c:v>
                </c:pt>
                <c:pt idx="23">
                  <c:v>0.55800000000000005</c:v>
                </c:pt>
                <c:pt idx="24">
                  <c:v>0.56999999999999995</c:v>
                </c:pt>
                <c:pt idx="25">
                  <c:v>0.56200000000000006</c:v>
                </c:pt>
                <c:pt idx="26">
                  <c:v>0.55200000000000005</c:v>
                </c:pt>
                <c:pt idx="27">
                  <c:v>0.55300000000000005</c:v>
                </c:pt>
                <c:pt idx="28">
                  <c:v>0.52300000000000002</c:v>
                </c:pt>
                <c:pt idx="29">
                  <c:v>0.55600000000000005</c:v>
                </c:pt>
                <c:pt idx="30">
                  <c:v>0.56699999999999995</c:v>
                </c:pt>
                <c:pt idx="31">
                  <c:v>0.58399999999999996</c:v>
                </c:pt>
                <c:pt idx="32">
                  <c:v>0.57799999999999996</c:v>
                </c:pt>
                <c:pt idx="33">
                  <c:v>0.55600000000000005</c:v>
                </c:pt>
                <c:pt idx="34">
                  <c:v>0.52600000000000002</c:v>
                </c:pt>
                <c:pt idx="35">
                  <c:v>0.46100000000000002</c:v>
                </c:pt>
                <c:pt idx="36">
                  <c:v>0.46300000000000002</c:v>
                </c:pt>
                <c:pt idx="37">
                  <c:v>0.46600000000000003</c:v>
                </c:pt>
                <c:pt idx="38">
                  <c:v>0.46500000000000002</c:v>
                </c:pt>
                <c:pt idx="39">
                  <c:v>0.45700000000000002</c:v>
                </c:pt>
                <c:pt idx="40">
                  <c:v>0.44600000000000001</c:v>
                </c:pt>
                <c:pt idx="41">
                  <c:v>0.46100000000000002</c:v>
                </c:pt>
                <c:pt idx="42">
                  <c:v>0.46300000000000002</c:v>
                </c:pt>
                <c:pt idx="43">
                  <c:v>0.46600000000000003</c:v>
                </c:pt>
                <c:pt idx="44">
                  <c:v>0.46500000000000002</c:v>
                </c:pt>
                <c:pt idx="45">
                  <c:v>0.45700000000000002</c:v>
                </c:pt>
                <c:pt idx="46">
                  <c:v>0.44600000000000001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9D-4B23-A12D-21859C2E0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638944"/>
        <c:axId val="1769636448"/>
      </c:scatterChart>
      <c:valAx>
        <c:axId val="176963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9636448"/>
        <c:crosses val="autoZero"/>
        <c:crossBetween val="midCat"/>
      </c:valAx>
      <c:valAx>
        <c:axId val="176963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963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'Давление начальное'!$B$45:$T$45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'Давление начальное'!$B$46:$T$46</c:f>
              <c:numCache>
                <c:formatCode>General</c:formatCode>
                <c:ptCount val="19"/>
                <c:pt idx="0">
                  <c:v>8.4652799999999999</c:v>
                </c:pt>
                <c:pt idx="1">
                  <c:v>8.4043899999999994</c:v>
                </c:pt>
                <c:pt idx="2">
                  <c:v>8.3757199999999994</c:v>
                </c:pt>
                <c:pt idx="3">
                  <c:v>8.3624700000000001</c:v>
                </c:pt>
                <c:pt idx="4">
                  <c:v>8.3561200000000007</c:v>
                </c:pt>
                <c:pt idx="5">
                  <c:v>8.35304</c:v>
                </c:pt>
                <c:pt idx="6">
                  <c:v>8.3521300000000007</c:v>
                </c:pt>
                <c:pt idx="7">
                  <c:v>8.3513999999999999</c:v>
                </c:pt>
                <c:pt idx="8">
                  <c:v>8.3515099999999993</c:v>
                </c:pt>
                <c:pt idx="9">
                  <c:v>8.3508999999999993</c:v>
                </c:pt>
                <c:pt idx="10">
                  <c:v>8.3512000000000004</c:v>
                </c:pt>
                <c:pt idx="11">
                  <c:v>8.3507200000000008</c:v>
                </c:pt>
                <c:pt idx="12">
                  <c:v>8.3508899999999997</c:v>
                </c:pt>
                <c:pt idx="13">
                  <c:v>8.3505800000000008</c:v>
                </c:pt>
                <c:pt idx="14">
                  <c:v>8.35032</c:v>
                </c:pt>
                <c:pt idx="15">
                  <c:v>8.3507099999999994</c:v>
                </c:pt>
                <c:pt idx="16">
                  <c:v>8.3508200000000006</c:v>
                </c:pt>
                <c:pt idx="17">
                  <c:v>8.3505800000000008</c:v>
                </c:pt>
                <c:pt idx="18">
                  <c:v>8.3508999999999993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8F-4093-9463-058A0DF5F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083040"/>
        <c:axId val="1411080544"/>
      </c:scatterChart>
      <c:valAx>
        <c:axId val="141108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1080544"/>
        <c:crosses val="autoZero"/>
        <c:crossBetween val="midCat"/>
      </c:valAx>
      <c:valAx>
        <c:axId val="141108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108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wmf"/><Relationship Id="rId3" Type="http://schemas.openxmlformats.org/officeDocument/2006/relationships/chart" Target="../charts/chart3.xml"/><Relationship Id="rId7" Type="http://schemas.openxmlformats.org/officeDocument/2006/relationships/image" Target="../media/image5.wm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wmf"/><Relationship Id="rId5" Type="http://schemas.openxmlformats.org/officeDocument/2006/relationships/image" Target="../media/image3.wmf"/><Relationship Id="rId10" Type="http://schemas.openxmlformats.org/officeDocument/2006/relationships/chart" Target="../charts/chart5.xml"/><Relationship Id="rId4" Type="http://schemas.openxmlformats.org/officeDocument/2006/relationships/image" Target="../media/image2.wmf"/><Relationship Id="rId9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228773</xdr:colOff>
      <xdr:row>54</xdr:row>
      <xdr:rowOff>128372</xdr:rowOff>
    </xdr:from>
    <xdr:to>
      <xdr:col>14</xdr:col>
      <xdr:colOff>531759</xdr:colOff>
      <xdr:row>69</xdr:row>
      <xdr:rowOff>109322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4964A5-8653-4682-8EAB-CE4A8E201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104962</xdr:colOff>
      <xdr:row>45</xdr:row>
      <xdr:rowOff>133350</xdr:rowOff>
    </xdr:from>
    <xdr:to>
      <xdr:col>44</xdr:col>
      <xdr:colOff>412749</xdr:colOff>
      <xdr:row>60</xdr:row>
      <xdr:rowOff>111686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63C761-CA11-4C01-9879-267D7F127D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598714</xdr:colOff>
      <xdr:row>101</xdr:row>
      <xdr:rowOff>106837</xdr:rowOff>
    </xdr:from>
    <xdr:to>
      <xdr:col>23</xdr:col>
      <xdr:colOff>316261</xdr:colOff>
      <xdr:row>121</xdr:row>
      <xdr:rowOff>154214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B214CC-6055-3676-8857-16497CEA0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394074</xdr:colOff>
      <xdr:row>115</xdr:row>
      <xdr:rowOff>0</xdr:rowOff>
    </xdr:from>
    <xdr:to>
      <xdr:col>16</xdr:col>
      <xdr:colOff>316245</xdr:colOff>
      <xdr:row>118</xdr:row>
      <xdr:rowOff>181069</xdr:rowOff>
    </xdr:to>
    <xdr:sp macro="" textlink="">
      <xdr:nvSpPr>
        <xdr:cNvPr id="4" name="Заголовок 5">
          <a:extLst>
            <a:ext uri="{FF2B5EF4-FFF2-40B4-BE49-F238E27FC236}">
              <a16:creationId xmlns:a16="http://schemas.microsoft.com/office/drawing/2014/main" id="{E6930F72-8024-174F-0DB2-9A32F5A8F47A}"/>
            </a:ext>
          </a:extLst>
        </xdr:cNvPr>
        <xdr:cNvSpPr txBox="1">
          <a:spLocks/>
        </xdr:cNvSpPr>
      </xdr:nvSpPr>
      <xdr:spPr bwMode="auto">
        <a:xfrm>
          <a:off x="4995956" y="21477941"/>
          <a:ext cx="7273230" cy="7413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107279" tIns="53640" rIns="107279" bIns="53640" anchor="ctr"/>
        <a:lstStyle>
          <a:defPPr>
            <a:defRPr lang="ru-RU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algn="ctr"/>
          <a:r>
            <a:rPr lang="ru-RU" sz="2400" b="1">
              <a:solidFill>
                <a:schemeClr val="bg1"/>
              </a:solidFill>
              <a:latin typeface="Times New Roman" pitchFamily="18" charset="0"/>
              <a:cs typeface="Arial" charset="0"/>
            </a:rPr>
            <a:t>ПОРЯДОК РАСЧЕТА ПТУ В СОСТАВЕ ПГУ</a:t>
          </a:r>
        </a:p>
      </xdr:txBody>
    </xdr:sp>
    <xdr:clientData/>
  </xdr:twoCellAnchor>
  <xdr:twoCellAnchor>
    <xdr:from>
      <xdr:col>15</xdr:col>
      <xdr:colOff>608881</xdr:colOff>
      <xdr:row>149</xdr:row>
      <xdr:rowOff>142875</xdr:rowOff>
    </xdr:from>
    <xdr:to>
      <xdr:col>16</xdr:col>
      <xdr:colOff>567765</xdr:colOff>
      <xdr:row>151</xdr:row>
      <xdr:rowOff>134470</xdr:rowOff>
    </xdr:to>
    <xdr:sp macro="" textlink="">
      <xdr:nvSpPr>
        <xdr:cNvPr id="6" name="Номер слайда 6">
          <a:extLst>
            <a:ext uri="{FF2B5EF4-FFF2-40B4-BE49-F238E27FC236}">
              <a16:creationId xmlns:a16="http://schemas.microsoft.com/office/drawing/2014/main" id="{9512D158-8C9E-8D3D-8951-870FBC707107}"/>
            </a:ext>
          </a:extLst>
        </xdr:cNvPr>
        <xdr:cNvSpPr txBox="1">
          <a:spLocks noGrp="1"/>
        </xdr:cNvSpPr>
      </xdr:nvSpPr>
      <xdr:spPr bwMode="auto">
        <a:xfrm>
          <a:off x="11949234" y="27970816"/>
          <a:ext cx="571472" cy="365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anchor="ctr"/>
        <a:lstStyle>
          <a:defPPr>
            <a:defRPr lang="ru-RU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algn="r"/>
          <a:r>
            <a:rPr lang="ru-RU" sz="1600" b="1">
              <a:latin typeface="Bookman Old Style" pitchFamily="18" charset="0"/>
            </a:rPr>
            <a:t>6</a:t>
          </a:r>
        </a:p>
      </xdr:txBody>
    </xdr:sp>
    <xdr:clientData/>
  </xdr:twoCellAnchor>
  <xdr:twoCellAnchor>
    <xdr:from>
      <xdr:col>2</xdr:col>
      <xdr:colOff>107504</xdr:colOff>
      <xdr:row>119</xdr:row>
      <xdr:rowOff>67096</xdr:rowOff>
    </xdr:from>
    <xdr:to>
      <xdr:col>16</xdr:col>
      <xdr:colOff>67787</xdr:colOff>
      <xdr:row>122</xdr:row>
      <xdr:rowOff>153133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5E082E9F-DAFC-1507-8EAF-9EB1DB123A07}"/>
            </a:ext>
          </a:extLst>
        </xdr:cNvPr>
        <xdr:cNvSpPr>
          <a:spLocks noChangeArrowheads="1"/>
        </xdr:cNvSpPr>
      </xdr:nvSpPr>
      <xdr:spPr bwMode="auto">
        <a:xfrm>
          <a:off x="3484210" y="22292096"/>
          <a:ext cx="8536518" cy="64633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vert="horz" wrap="square" lIns="91440" tIns="45720" rIns="91440" bIns="45720" numCol="1" anchor="ctr" anchorCtr="0" compatLnSpc="1">
          <a:prstTxWarp prst="textNoShape">
            <a:avLst/>
          </a:prstTxWarp>
          <a:spAutoFit/>
        </a:bodyPr>
        <a:lstStyle>
          <a:defPPr>
            <a:defRPr lang="ru-RU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algn="just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ru-RU" b="0" i="0" u="none" strike="noStrike" cap="none" normalizeH="0" baseline="0">
              <a:ln>
                <a:noFill/>
              </a:ln>
              <a:solidFill>
                <a:srgbClr val="002060"/>
              </a:solidFill>
              <a:effectLst/>
              <a:latin typeface="Times New Roman" pitchFamily="18" charset="0"/>
              <a:ea typeface="Times New Roman" pitchFamily="18" charset="0"/>
              <a:cs typeface="Times New Roman" pitchFamily="18" charset="0"/>
            </a:rPr>
            <a:t>1.	Внутренний относительный КПД проточной части ЦВД до смешения пара определяют по приближенной эмпирической формуле:</a:t>
          </a:r>
          <a:endParaRPr kumimoji="0" lang="ru-RU" b="0" i="0" u="none" strike="noStrike" cap="none" normalizeH="0" baseline="30000">
            <a:ln>
              <a:noFill/>
            </a:ln>
            <a:solidFill>
              <a:srgbClr val="002060"/>
            </a:solidFill>
            <a:effectLst/>
            <a:latin typeface="Times New Roman" pitchFamily="18" charset="0"/>
            <a:ea typeface="Times New Roman" pitchFamily="18" charset="0"/>
            <a:cs typeface="Times New Roman" pitchFamily="18" charset="0"/>
            <a:sym typeface="Symbol" pitchFamily="18" charset="2"/>
          </a:endParaRPr>
        </a:p>
      </xdr:txBody>
    </xdr:sp>
    <xdr:clientData/>
  </xdr:twoCellAnchor>
  <xdr:twoCellAnchor editAs="oneCell">
    <xdr:from>
      <xdr:col>5</xdr:col>
      <xdr:colOff>357971</xdr:colOff>
      <xdr:row>122</xdr:row>
      <xdr:rowOff>177431</xdr:rowOff>
    </xdr:from>
    <xdr:to>
      <xdr:col>13</xdr:col>
      <xdr:colOff>319924</xdr:colOff>
      <xdr:row>127</xdr:row>
      <xdr:rowOff>107703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FC70694-75FB-0ED5-93FF-2FB46FB2C8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2442" y="22962725"/>
          <a:ext cx="4862658" cy="8640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251520</xdr:colOff>
      <xdr:row>130</xdr:row>
      <xdr:rowOff>169639</xdr:rowOff>
    </xdr:from>
    <xdr:to>
      <xdr:col>16</xdr:col>
      <xdr:colOff>567765</xdr:colOff>
      <xdr:row>134</xdr:row>
      <xdr:rowOff>68911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F5C050CE-FE12-1946-3D76-BF680ABF53D5}"/>
            </a:ext>
          </a:extLst>
        </xdr:cNvPr>
        <xdr:cNvSpPr>
          <a:spLocks noChangeArrowheads="1"/>
        </xdr:cNvSpPr>
      </xdr:nvSpPr>
      <xdr:spPr bwMode="auto">
        <a:xfrm>
          <a:off x="3628226" y="24449051"/>
          <a:ext cx="8892480" cy="64633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vert="horz" wrap="square" lIns="91440" tIns="45720" rIns="91440" bIns="45720" numCol="1" anchor="ctr" anchorCtr="0" compatLnSpc="1">
          <a:prstTxWarp prst="textNoShape">
            <a:avLst/>
          </a:prstTxWarp>
          <a:spAutoFit/>
        </a:bodyPr>
        <a:lstStyle>
          <a:defPPr>
            <a:defRPr lang="ru-RU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just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en-US" b="0" i="0" u="none" strike="noStrike" cap="none" normalizeH="0" baseline="0">
              <a:ln>
                <a:noFill/>
              </a:ln>
              <a:solidFill>
                <a:srgbClr val="002060"/>
              </a:solidFill>
              <a:effectLst/>
              <a:latin typeface="Times New Roman" pitchFamily="18" charset="0"/>
              <a:ea typeface="Times New Roman" pitchFamily="18" charset="0"/>
              <a:cs typeface="Times New Roman" pitchFamily="18" charset="0"/>
            </a:rPr>
            <a:t>v</a:t>
          </a:r>
          <a:r>
            <a:rPr kumimoji="0" lang="ru-RU" b="0" i="0" u="none" strike="noStrike" cap="none" normalizeH="0" baseline="-30000">
              <a:ln>
                <a:noFill/>
              </a:ln>
              <a:solidFill>
                <a:srgbClr val="002060"/>
              </a:solidFill>
              <a:effectLst/>
              <a:latin typeface="Times New Roman" pitchFamily="18" charset="0"/>
              <a:ea typeface="Times New Roman" pitchFamily="18" charset="0"/>
              <a:cs typeface="Times New Roman" pitchFamily="18" charset="0"/>
            </a:rPr>
            <a:t>СР</a:t>
          </a:r>
          <a:r>
            <a:rPr kumimoji="0" lang="ru-RU" b="0" i="0" u="none" strike="noStrike" cap="none" normalizeH="0" baseline="0">
              <a:ln>
                <a:noFill/>
              </a:ln>
              <a:solidFill>
                <a:srgbClr val="002060"/>
              </a:solidFill>
              <a:effectLst/>
              <a:latin typeface="Times New Roman" pitchFamily="18" charset="0"/>
              <a:ea typeface="Times New Roman" pitchFamily="18" charset="0"/>
              <a:cs typeface="Times New Roman" pitchFamily="18" charset="0"/>
            </a:rPr>
            <a:t> = 0,5(v</a:t>
          </a:r>
          <a:r>
            <a:rPr kumimoji="0" lang="ru-RU" b="0" i="0" u="none" strike="noStrike" cap="none" normalizeH="0" baseline="-30000">
              <a:ln>
                <a:noFill/>
              </a:ln>
              <a:solidFill>
                <a:srgbClr val="002060"/>
              </a:solidFill>
              <a:effectLst/>
              <a:latin typeface="Times New Roman" pitchFamily="18" charset="0"/>
              <a:ea typeface="Times New Roman" pitchFamily="18" charset="0"/>
              <a:cs typeface="Times New Roman" pitchFamily="18" charset="0"/>
            </a:rPr>
            <a:t>0</a:t>
          </a:r>
          <a:r>
            <a:rPr kumimoji="0" lang="ru-RU" b="0" i="0" u="none" strike="noStrike" cap="none" normalizeH="0" baseline="0">
              <a:ln>
                <a:noFill/>
              </a:ln>
              <a:solidFill>
                <a:srgbClr val="002060"/>
              </a:solidFill>
              <a:effectLst/>
              <a:latin typeface="Times New Roman" pitchFamily="18" charset="0"/>
              <a:ea typeface="Times New Roman" pitchFamily="18" charset="0"/>
              <a:cs typeface="Times New Roman" pitchFamily="18" charset="0"/>
            </a:rPr>
            <a:t> + v</a:t>
          </a:r>
          <a:r>
            <a:rPr kumimoji="0" lang="en-US" b="0" i="0" u="none" strike="noStrike" cap="none" normalizeH="0" baseline="-30000">
              <a:ln>
                <a:noFill/>
              </a:ln>
              <a:solidFill>
                <a:srgbClr val="002060"/>
              </a:solidFill>
              <a:effectLst/>
              <a:latin typeface="Times New Roman" pitchFamily="18" charset="0"/>
              <a:ea typeface="Times New Roman" pitchFamily="18" charset="0"/>
              <a:cs typeface="Times New Roman" pitchFamily="18" charset="0"/>
            </a:rPr>
            <a:t>Z</a:t>
          </a:r>
          <a:r>
            <a:rPr kumimoji="0" lang="ru-RU" b="0" i="0" u="none" strike="noStrike" cap="none" normalizeH="0" baseline="0">
              <a:ln>
                <a:noFill/>
              </a:ln>
              <a:solidFill>
                <a:srgbClr val="002060"/>
              </a:solidFill>
              <a:effectLst/>
              <a:latin typeface="Times New Roman" pitchFamily="18" charset="0"/>
              <a:ea typeface="Times New Roman" pitchFamily="18" charset="0"/>
              <a:cs typeface="Times New Roman" pitchFamily="18" charset="0"/>
            </a:rPr>
            <a:t>), м</a:t>
          </a:r>
          <a:r>
            <a:rPr kumimoji="0" lang="ru-RU" b="0" i="0" u="none" strike="noStrike" cap="none" normalizeH="0" baseline="30000">
              <a:ln>
                <a:noFill/>
              </a:ln>
              <a:solidFill>
                <a:srgbClr val="002060"/>
              </a:solidFill>
              <a:effectLst/>
              <a:latin typeface="Times New Roman" pitchFamily="18" charset="0"/>
              <a:ea typeface="Times New Roman" pitchFamily="18" charset="0"/>
              <a:cs typeface="Times New Roman" pitchFamily="18" charset="0"/>
            </a:rPr>
            <a:t>3</a:t>
          </a:r>
          <a:r>
            <a:rPr kumimoji="0" lang="ru-RU" b="0" i="0" u="none" strike="noStrike" cap="none" normalizeH="0" baseline="0">
              <a:ln>
                <a:noFill/>
              </a:ln>
              <a:solidFill>
                <a:srgbClr val="002060"/>
              </a:solidFill>
              <a:effectLst/>
              <a:latin typeface="Times New Roman" pitchFamily="18" charset="0"/>
              <a:ea typeface="Times New Roman" pitchFamily="18" charset="0"/>
              <a:cs typeface="Times New Roman" pitchFamily="18" charset="0"/>
            </a:rPr>
            <a:t>/кг – средний удельный объем пара группы средней ступени </a:t>
          </a:r>
          <a:r>
            <a:rPr kumimoji="0" lang="en-US" b="0" i="0" u="none" strike="noStrike" cap="none" normalizeH="0" baseline="0">
              <a:ln>
                <a:noFill/>
              </a:ln>
              <a:solidFill>
                <a:srgbClr val="002060"/>
              </a:solidFill>
              <a:effectLst/>
              <a:latin typeface="Times New Roman" pitchFamily="18" charset="0"/>
              <a:ea typeface="Times New Roman" pitchFamily="18" charset="0"/>
              <a:cs typeface="Times New Roman" pitchFamily="18" charset="0"/>
            </a:rPr>
            <a:t>Z</a:t>
          </a:r>
          <a:r>
            <a:rPr kumimoji="0" lang="ru-RU" b="0" i="0" u="none" strike="noStrike" cap="none" normalizeH="0" baseline="0">
              <a:ln>
                <a:noFill/>
              </a:ln>
              <a:solidFill>
                <a:srgbClr val="002060"/>
              </a:solidFill>
              <a:effectLst/>
              <a:latin typeface="Times New Roman" pitchFamily="18" charset="0"/>
              <a:ea typeface="Times New Roman" pitchFamily="18" charset="0"/>
              <a:cs typeface="Times New Roman" pitchFamily="18" charset="0"/>
            </a:rPr>
            <a:t> в ЦВД до смешения, определяемый с использованием </a:t>
          </a:r>
          <a:r>
            <a:rPr kumimoji="0" lang="en-US" b="0" i="0" u="none" strike="noStrike" cap="none" normalizeH="0" baseline="0">
              <a:ln>
                <a:noFill/>
              </a:ln>
              <a:solidFill>
                <a:srgbClr val="002060"/>
              </a:solidFill>
              <a:effectLst/>
              <a:latin typeface="Times New Roman" pitchFamily="18" charset="0"/>
              <a:ea typeface="Times New Roman" pitchFamily="18" charset="0"/>
              <a:cs typeface="Times New Roman" pitchFamily="18" charset="0"/>
            </a:rPr>
            <a:t>h</a:t>
          </a:r>
          <a:r>
            <a:rPr kumimoji="0" lang="ru-RU" b="0" i="0" u="none" strike="noStrike" cap="none" normalizeH="0" baseline="0">
              <a:ln>
                <a:noFill/>
              </a:ln>
              <a:solidFill>
                <a:srgbClr val="002060"/>
              </a:solidFill>
              <a:effectLst/>
              <a:latin typeface="Times New Roman" pitchFamily="18" charset="0"/>
              <a:ea typeface="Times New Roman" pitchFamily="18" charset="0"/>
              <a:cs typeface="Times New Roman" pitchFamily="18" charset="0"/>
            </a:rPr>
            <a:t>,</a:t>
          </a:r>
          <a:r>
            <a:rPr kumimoji="0" lang="en-US" b="0" i="0" u="none" strike="noStrike" cap="none" normalizeH="0" baseline="0">
              <a:ln>
                <a:noFill/>
              </a:ln>
              <a:solidFill>
                <a:srgbClr val="002060"/>
              </a:solidFill>
              <a:effectLst/>
              <a:latin typeface="Times New Roman" pitchFamily="18" charset="0"/>
              <a:ea typeface="Times New Roman" pitchFamily="18" charset="0"/>
              <a:cs typeface="Times New Roman" pitchFamily="18" charset="0"/>
            </a:rPr>
            <a:t>S</a:t>
          </a:r>
          <a:r>
            <a:rPr kumimoji="0" lang="ru-RU" b="0" i="0" u="none" strike="noStrike" cap="none" normalizeH="0" baseline="0">
              <a:ln>
                <a:noFill/>
              </a:ln>
              <a:solidFill>
                <a:srgbClr val="002060"/>
              </a:solidFill>
              <a:effectLst/>
              <a:latin typeface="Times New Roman" pitchFamily="18" charset="0"/>
              <a:ea typeface="Times New Roman" pitchFamily="18" charset="0"/>
              <a:cs typeface="Times New Roman" pitchFamily="18" charset="0"/>
            </a:rPr>
            <a:t> – диаграммы;</a:t>
          </a:r>
          <a:endParaRPr kumimoji="0" lang="ru-RU" sz="18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2</xdr:col>
      <xdr:colOff>179512</xdr:colOff>
      <xdr:row>128</xdr:row>
      <xdr:rowOff>64955</xdr:rowOff>
    </xdr:from>
    <xdr:to>
      <xdr:col>3</xdr:col>
      <xdr:colOff>48736</xdr:colOff>
      <xdr:row>130</xdr:row>
      <xdr:rowOff>79983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3366C68-09E5-FDC1-625C-0BB0B925D3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6218" y="23970837"/>
          <a:ext cx="481812" cy="388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287004</xdr:colOff>
      <xdr:row>127</xdr:row>
      <xdr:rowOff>107703</xdr:rowOff>
    </xdr:from>
    <xdr:to>
      <xdr:col>16</xdr:col>
      <xdr:colOff>316245</xdr:colOff>
      <xdr:row>131</xdr:row>
      <xdr:rowOff>6976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5AB85BC1-52D2-9C23-EB61-0327FF6319E8}"/>
            </a:ext>
          </a:extLst>
        </xdr:cNvPr>
        <xdr:cNvSpPr>
          <a:spLocks noChangeArrowheads="1"/>
        </xdr:cNvSpPr>
      </xdr:nvSpPr>
      <xdr:spPr bwMode="auto">
        <a:xfrm>
          <a:off x="4276298" y="23826821"/>
          <a:ext cx="7992888" cy="64633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vert="horz" wrap="square" lIns="91440" tIns="45720" rIns="91440" bIns="45720" numCol="1" anchor="ctr" anchorCtr="0" compatLnSpc="1">
          <a:prstTxWarp prst="textNoShape">
            <a:avLst/>
          </a:prstTxWarp>
          <a:spAutoFit/>
        </a:bodyPr>
        <a:lstStyle>
          <a:defPPr>
            <a:defRPr lang="ru-RU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just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ru-RU" b="0" i="0" u="none" strike="noStrike" cap="none" normalizeH="0" baseline="0">
              <a:ln>
                <a:noFill/>
              </a:ln>
              <a:solidFill>
                <a:srgbClr val="002060"/>
              </a:solidFill>
              <a:effectLst/>
              <a:latin typeface="Times New Roman" pitchFamily="18" charset="0"/>
              <a:ea typeface="Times New Roman" pitchFamily="18" charset="0"/>
              <a:cs typeface="Times New Roman" pitchFamily="18" charset="0"/>
            </a:rPr>
            <a:t>, кДж/кг – располагаемое (изоэнтропийное) теплопадение группы ступеней </a:t>
          </a:r>
          <a:r>
            <a:rPr kumimoji="0" lang="en-US" b="0" i="0" u="none" strike="noStrike" cap="none" normalizeH="0" baseline="0">
              <a:ln>
                <a:noFill/>
              </a:ln>
              <a:solidFill>
                <a:srgbClr val="002060"/>
              </a:solidFill>
              <a:effectLst/>
              <a:latin typeface="Times New Roman" pitchFamily="18" charset="0"/>
              <a:ea typeface="Times New Roman" pitchFamily="18" charset="0"/>
              <a:cs typeface="Times New Roman" pitchFamily="18" charset="0"/>
            </a:rPr>
            <a:t>Z</a:t>
          </a:r>
          <a:r>
            <a:rPr kumimoji="0" lang="ru-RU" b="0" i="0" u="none" strike="noStrike" cap="none" normalizeH="0" baseline="0">
              <a:ln>
                <a:noFill/>
              </a:ln>
              <a:solidFill>
                <a:srgbClr val="002060"/>
              </a:solidFill>
              <a:effectLst/>
              <a:latin typeface="Times New Roman" pitchFamily="18" charset="0"/>
              <a:ea typeface="Times New Roman" pitchFamily="18" charset="0"/>
              <a:cs typeface="Times New Roman" pitchFamily="18" charset="0"/>
            </a:rPr>
            <a:t> ЦВД до смешения.</a:t>
          </a:r>
          <a:endParaRPr kumimoji="0" lang="ru-RU" b="0" i="0" u="none" strike="noStrike" cap="none" normalizeH="0" baseline="0">
            <a:ln>
              <a:noFill/>
            </a:ln>
            <a:solidFill>
              <a:srgbClr val="002060"/>
            </a:solidFill>
            <a:effectLst/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 editAs="oneCell">
    <xdr:from>
      <xdr:col>10</xdr:col>
      <xdr:colOff>535390</xdr:colOff>
      <xdr:row>134</xdr:row>
      <xdr:rowOff>96494</xdr:rowOff>
    </xdr:from>
    <xdr:to>
      <xdr:col>14</xdr:col>
      <xdr:colOff>59301</xdr:colOff>
      <xdr:row>136</xdr:row>
      <xdr:rowOff>167619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6E5AABC-32F2-3A57-CC47-1C7FE5F71D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12802" y="25122965"/>
          <a:ext cx="1974264" cy="4446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31334</xdr:colOff>
      <xdr:row>144</xdr:row>
      <xdr:rowOff>173063</xdr:rowOff>
    </xdr:from>
    <xdr:to>
      <xdr:col>15</xdr:col>
      <xdr:colOff>280762</xdr:colOff>
      <xdr:row>148</xdr:row>
      <xdr:rowOff>10541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22B0D42-D4E0-D89F-2F98-03D2F42F04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8746" y="27067181"/>
          <a:ext cx="3312369" cy="5845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147</xdr:row>
      <xdr:rowOff>95919</xdr:rowOff>
    </xdr:from>
    <xdr:to>
      <xdr:col>16</xdr:col>
      <xdr:colOff>244237</xdr:colOff>
      <xdr:row>151</xdr:row>
      <xdr:rowOff>179857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D3B739BB-F78F-6A9F-ED4B-F9603DE96E76}"/>
            </a:ext>
          </a:extLst>
        </xdr:cNvPr>
        <xdr:cNvSpPr>
          <a:spLocks noChangeArrowheads="1"/>
        </xdr:cNvSpPr>
      </xdr:nvSpPr>
      <xdr:spPr bwMode="auto">
        <a:xfrm>
          <a:off x="3376706" y="27550331"/>
          <a:ext cx="8820472" cy="83099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vert="horz" wrap="square" lIns="91440" tIns="45720" rIns="91440" bIns="45720" numCol="1" anchor="ctr" anchorCtr="0" compatLnSpc="1">
          <a:prstTxWarp prst="textNoShape">
            <a:avLst/>
          </a:prstTxWarp>
          <a:spAutoFit/>
        </a:bodyPr>
        <a:lstStyle>
          <a:defPPr>
            <a:defRPr lang="ru-RU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ru-RU" sz="1600" b="0" i="0" u="none" strike="noStrike" cap="none" normalizeH="0" baseline="0">
              <a:ln>
                <a:noFill/>
              </a:ln>
              <a:solidFill>
                <a:srgbClr val="002060"/>
              </a:solidFill>
              <a:effectLst/>
              <a:latin typeface="Times New Roman" pitchFamily="18" charset="0"/>
              <a:ea typeface="Times New Roman" pitchFamily="18" charset="0"/>
              <a:cs typeface="Times New Roman" pitchFamily="18" charset="0"/>
              <a:sym typeface="Symbol" pitchFamily="18" charset="2"/>
            </a:rPr>
            <a:t></a:t>
          </a:r>
          <a:r>
            <a:rPr kumimoji="0" lang="ru-RU" sz="1600" b="0" i="0" u="none" strike="noStrike" cap="none" normalizeH="0" baseline="-30000">
              <a:ln>
                <a:noFill/>
              </a:ln>
              <a:solidFill>
                <a:srgbClr val="002060"/>
              </a:solidFill>
              <a:effectLst/>
              <a:latin typeface="Times New Roman" pitchFamily="18" charset="0"/>
              <a:ea typeface="Times New Roman" pitchFamily="18" charset="0"/>
              <a:cs typeface="Times New Roman" pitchFamily="18" charset="0"/>
            </a:rPr>
            <a:t>ВЛ</a:t>
          </a:r>
          <a:r>
            <a:rPr kumimoji="0" lang="ru-RU" sz="1600" b="0" i="0" u="none" strike="noStrike" cap="none" normalizeH="0" baseline="0">
              <a:ln>
                <a:noFill/>
              </a:ln>
              <a:solidFill>
                <a:srgbClr val="002060"/>
              </a:solidFill>
              <a:effectLst/>
              <a:latin typeface="Times New Roman" pitchFamily="18" charset="0"/>
              <a:ea typeface="Times New Roman" pitchFamily="18" charset="0"/>
              <a:cs typeface="Times New Roman" pitchFamily="18" charset="0"/>
              <a:sym typeface="Symbol" pitchFamily="18" charset="2"/>
            </a:rPr>
            <a:t> – коэффициент учета влияния средней влажности на величину </a:t>
          </a:r>
          <a:r>
            <a:rPr kumimoji="0" lang="ru-RU" sz="1600" b="0" i="0" u="none" strike="noStrike" cap="none" normalizeH="0" baseline="-30000">
              <a:ln>
                <a:noFill/>
              </a:ln>
              <a:solidFill>
                <a:srgbClr val="002060"/>
              </a:solidFill>
              <a:effectLst/>
              <a:latin typeface="Times New Roman" pitchFamily="18" charset="0"/>
              <a:ea typeface="Times New Roman" pitchFamily="18" charset="0"/>
              <a:cs typeface="Times New Roman" pitchFamily="18" charset="0"/>
            </a:rPr>
            <a:t>0</a:t>
          </a:r>
          <a:r>
            <a:rPr kumimoji="0" lang="en-US" sz="1600" b="0" i="0" u="none" strike="noStrike" cap="none" normalizeH="0" baseline="-30000">
              <a:ln>
                <a:noFill/>
              </a:ln>
              <a:solidFill>
                <a:srgbClr val="002060"/>
              </a:solidFill>
              <a:effectLst/>
              <a:latin typeface="Times New Roman" pitchFamily="18" charset="0"/>
              <a:ea typeface="Times New Roman" pitchFamily="18" charset="0"/>
              <a:cs typeface="Times New Roman" pitchFamily="18" charset="0"/>
              <a:sym typeface="Symbol" pitchFamily="18" charset="2"/>
            </a:rPr>
            <a:t>i</a:t>
          </a:r>
          <a:r>
            <a:rPr kumimoji="0" lang="ru-RU" sz="1600" b="0" i="0" u="none" strike="noStrike" cap="none" normalizeH="0" baseline="0">
              <a:ln>
                <a:noFill/>
              </a:ln>
              <a:solidFill>
                <a:srgbClr val="002060"/>
              </a:solidFill>
              <a:effectLst/>
              <a:latin typeface="Times New Roman" pitchFamily="18" charset="0"/>
              <a:ea typeface="Times New Roman" pitchFamily="18" charset="0"/>
              <a:cs typeface="Times New Roman" pitchFamily="18" charset="0"/>
              <a:sym typeface="Symbol" pitchFamily="18" charset="2"/>
            </a:rPr>
            <a:t> в зависимости от конструкции проточной части (</a:t>
          </a:r>
          <a:r>
            <a:rPr kumimoji="0" lang="ru-RU" sz="1600" b="0" i="0" u="none" strike="noStrike" cap="none" normalizeH="0" baseline="-30000">
              <a:ln>
                <a:noFill/>
              </a:ln>
              <a:solidFill>
                <a:srgbClr val="002060"/>
              </a:solidFill>
              <a:effectLst/>
              <a:latin typeface="Times New Roman" pitchFamily="18" charset="0"/>
              <a:ea typeface="Times New Roman" pitchFamily="18" charset="0"/>
              <a:cs typeface="Times New Roman" pitchFamily="18" charset="0"/>
            </a:rPr>
            <a:t>ВЛ</a:t>
          </a:r>
          <a:r>
            <a:rPr kumimoji="0" lang="ru-RU" sz="1600" b="0" i="0" u="none" strike="noStrike" cap="none" normalizeH="0" baseline="0">
              <a:ln>
                <a:noFill/>
              </a:ln>
              <a:solidFill>
                <a:srgbClr val="002060"/>
              </a:solidFill>
              <a:effectLst/>
              <a:latin typeface="Times New Roman" pitchFamily="18" charset="0"/>
              <a:ea typeface="Times New Roman" pitchFamily="18" charset="0"/>
              <a:cs typeface="Times New Roman" pitchFamily="18" charset="0"/>
              <a:sym typeface="Symbol" pitchFamily="18" charset="2"/>
            </a:rPr>
            <a:t> = 0,1</a:t>
          </a:r>
          <a:r>
            <a:rPr kumimoji="0" lang="ru-RU" sz="1600" b="0" i="0" u="none" strike="noStrike" cap="none" normalizeH="0" baseline="0">
              <a:ln>
                <a:noFill/>
              </a:ln>
              <a:solidFill>
                <a:srgbClr val="002060"/>
              </a:solidFill>
              <a:effectLst/>
              <a:latin typeface="Times New Roman" pitchFamily="18" charset="0"/>
              <a:ea typeface="Times New Roman" pitchFamily="18" charset="0"/>
              <a:cs typeface="Times New Roman" pitchFamily="18" charset="0"/>
            </a:rPr>
            <a:t>0,2);</a:t>
          </a:r>
          <a:endParaRPr kumimoji="0" lang="ru-RU" sz="1600" b="0" i="0" u="none" strike="noStrike" cap="none" normalizeH="0" baseline="0">
            <a:ln>
              <a:noFill/>
            </a:ln>
            <a:solidFill>
              <a:srgbClr val="002060"/>
            </a:solidFill>
            <a:effectLst/>
            <a:latin typeface="Times New Roman" pitchFamily="18" charset="0"/>
            <a:cs typeface="Times New Roman" pitchFamily="18" charset="0"/>
            <a:sym typeface="Symbol" pitchFamily="18" charset="2"/>
          </a:endParaRPr>
        </a:p>
        <a:p>
          <a:pPr marL="0" marR="0" lvl="0" indent="0" algn="l" defTabSz="91440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en-US" sz="1600" b="0" i="0" u="none" strike="noStrike" cap="none" normalizeH="0" baseline="0">
              <a:ln>
                <a:noFill/>
              </a:ln>
              <a:solidFill>
                <a:srgbClr val="002060"/>
              </a:solidFill>
              <a:effectLst/>
              <a:latin typeface="Times New Roman" pitchFamily="18" charset="0"/>
              <a:ea typeface="Times New Roman" pitchFamily="18" charset="0"/>
              <a:cs typeface="Times New Roman" pitchFamily="18" charset="0"/>
              <a:sym typeface="Symbol" pitchFamily="18" charset="2"/>
            </a:rPr>
            <a:t>y</a:t>
          </a:r>
          <a:r>
            <a:rPr kumimoji="0" lang="ru-RU" sz="1600" b="0" i="0" u="none" strike="noStrike" cap="none" normalizeH="0" baseline="-30000">
              <a:ln>
                <a:noFill/>
              </a:ln>
              <a:solidFill>
                <a:srgbClr val="002060"/>
              </a:solidFill>
              <a:effectLst/>
              <a:latin typeface="Times New Roman" pitchFamily="18" charset="0"/>
              <a:ea typeface="Times New Roman" pitchFamily="18" charset="0"/>
              <a:cs typeface="Times New Roman" pitchFamily="18" charset="0"/>
              <a:sym typeface="Symbol" pitchFamily="18" charset="2"/>
            </a:rPr>
            <a:t>0</a:t>
          </a:r>
          <a:r>
            <a:rPr kumimoji="0" lang="ru-RU" sz="1600" b="0" i="0" u="none" strike="noStrike" cap="none" normalizeH="0" baseline="0">
              <a:ln>
                <a:noFill/>
              </a:ln>
              <a:solidFill>
                <a:srgbClr val="002060"/>
              </a:solidFill>
              <a:effectLst/>
              <a:latin typeface="Times New Roman" pitchFamily="18" charset="0"/>
              <a:ea typeface="Times New Roman" pitchFamily="18" charset="0"/>
              <a:cs typeface="Times New Roman" pitchFamily="18" charset="0"/>
              <a:sym typeface="Symbol" pitchFamily="18" charset="2"/>
            </a:rPr>
            <a:t>, </a:t>
          </a:r>
          <a:r>
            <a:rPr kumimoji="0" lang="en-US" sz="1600" b="0" i="0" u="none" strike="noStrike" cap="none" normalizeH="0" baseline="0">
              <a:ln>
                <a:noFill/>
              </a:ln>
              <a:solidFill>
                <a:srgbClr val="002060"/>
              </a:solidFill>
              <a:effectLst/>
              <a:latin typeface="Times New Roman" pitchFamily="18" charset="0"/>
              <a:ea typeface="Times New Roman" pitchFamily="18" charset="0"/>
              <a:cs typeface="Times New Roman" pitchFamily="18" charset="0"/>
              <a:sym typeface="Symbol" pitchFamily="18" charset="2"/>
            </a:rPr>
            <a:t>y</a:t>
          </a:r>
          <a:r>
            <a:rPr kumimoji="0" lang="en-US" sz="1600" b="0" i="0" u="none" strike="noStrike" cap="none" normalizeH="0" baseline="-30000">
              <a:ln>
                <a:noFill/>
              </a:ln>
              <a:solidFill>
                <a:srgbClr val="002060"/>
              </a:solidFill>
              <a:effectLst/>
              <a:latin typeface="Times New Roman" pitchFamily="18" charset="0"/>
              <a:ea typeface="Times New Roman" pitchFamily="18" charset="0"/>
              <a:cs typeface="Times New Roman" pitchFamily="18" charset="0"/>
              <a:sym typeface="Symbol" pitchFamily="18" charset="2"/>
            </a:rPr>
            <a:t>Z</a:t>
          </a:r>
          <a:r>
            <a:rPr kumimoji="0" lang="ru-RU" sz="1600" b="0" i="0" u="none" strike="noStrike" cap="none" normalizeH="0" baseline="0">
              <a:ln>
                <a:noFill/>
              </a:ln>
              <a:solidFill>
                <a:srgbClr val="002060"/>
              </a:solidFill>
              <a:effectLst/>
              <a:latin typeface="Times New Roman" pitchFamily="18" charset="0"/>
              <a:ea typeface="Times New Roman" pitchFamily="18" charset="0"/>
              <a:cs typeface="Times New Roman" pitchFamily="18" charset="0"/>
              <a:sym typeface="Symbol" pitchFamily="18" charset="2"/>
            </a:rPr>
            <a:t> – влажность пара в начале и в конце группы ступеней </a:t>
          </a:r>
          <a:r>
            <a:rPr kumimoji="0" lang="en-US" sz="1600" b="0" i="0" u="none" strike="noStrike" cap="none" normalizeH="0" baseline="0">
              <a:ln>
                <a:noFill/>
              </a:ln>
              <a:solidFill>
                <a:srgbClr val="002060"/>
              </a:solidFill>
              <a:effectLst/>
              <a:latin typeface="Times New Roman" pitchFamily="18" charset="0"/>
              <a:ea typeface="Times New Roman" pitchFamily="18" charset="0"/>
              <a:cs typeface="Times New Roman" pitchFamily="18" charset="0"/>
              <a:sym typeface="Symbol" pitchFamily="18" charset="2"/>
            </a:rPr>
            <a:t>Z</a:t>
          </a:r>
          <a:r>
            <a:rPr lang="ru-RU" sz="1600">
              <a:solidFill>
                <a:srgbClr val="002060"/>
              </a:solidFill>
              <a:latin typeface="Times New Roman" pitchFamily="18" charset="0"/>
              <a:ea typeface="Times New Roman" pitchFamily="18" charset="0"/>
              <a:cs typeface="Times New Roman" pitchFamily="18" charset="0"/>
              <a:sym typeface="Symbol" pitchFamily="18" charset="2"/>
            </a:rPr>
            <a:t>.</a:t>
          </a:r>
          <a:endParaRPr kumimoji="0" lang="ru-RU" sz="1600" b="0" i="0" u="none" strike="noStrike" cap="none" normalizeH="0" baseline="0">
            <a:ln>
              <a:noFill/>
            </a:ln>
            <a:solidFill>
              <a:srgbClr val="002060"/>
            </a:solidFill>
            <a:effectLst/>
            <a:latin typeface="Times New Roman" pitchFamily="18" charset="0"/>
            <a:ea typeface="Times New Roman" pitchFamily="18" charset="0"/>
            <a:cs typeface="Times New Roman" pitchFamily="18" charset="0"/>
            <a:sym typeface="Symbol" pitchFamily="18" charset="2"/>
          </a:endParaRPr>
        </a:p>
      </xdr:txBody>
    </xdr:sp>
    <xdr:clientData/>
  </xdr:twoCellAnchor>
  <xdr:twoCellAnchor editAs="oneCell">
    <xdr:from>
      <xdr:col>5</xdr:col>
      <xdr:colOff>213955</xdr:colOff>
      <xdr:row>140</xdr:row>
      <xdr:rowOff>56026</xdr:rowOff>
    </xdr:from>
    <xdr:to>
      <xdr:col>13</xdr:col>
      <xdr:colOff>148651</xdr:colOff>
      <xdr:row>144</xdr:row>
      <xdr:rowOff>142093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52A55D0-CEE9-3CBC-41DD-5B84A1E9BD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8426" y="26203085"/>
          <a:ext cx="4835401" cy="833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272510</xdr:colOff>
      <xdr:row>134</xdr:row>
      <xdr:rowOff>168502</xdr:rowOff>
    </xdr:from>
    <xdr:to>
      <xdr:col>10</xdr:col>
      <xdr:colOff>282187</xdr:colOff>
      <xdr:row>136</xdr:row>
      <xdr:rowOff>164305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524AD46A-241C-3406-95DE-BFFA111CD560}"/>
            </a:ext>
          </a:extLst>
        </xdr:cNvPr>
        <xdr:cNvSpPr>
          <a:spLocks noChangeArrowheads="1"/>
        </xdr:cNvSpPr>
      </xdr:nvSpPr>
      <xdr:spPr bwMode="auto">
        <a:xfrm>
          <a:off x="3649216" y="25194973"/>
          <a:ext cx="4910383" cy="36933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vert="horz" wrap="square" lIns="91440" tIns="45720" rIns="91440" bIns="45720" numCol="1" anchor="ctr" anchorCtr="0" compatLnSpc="1">
          <a:prstTxWarp prst="textNoShape">
            <a:avLst/>
          </a:prstTxWarp>
          <a:spAutoFit/>
        </a:bodyPr>
        <a:lstStyle>
          <a:defPPr>
            <a:defRPr lang="ru-RU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algn="just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ru-RU" b="0" i="0" u="none" strike="noStrike" cap="none" normalizeH="0" baseline="0">
              <a:ln>
                <a:noFill/>
              </a:ln>
              <a:solidFill>
                <a:srgbClr val="002060"/>
              </a:solidFill>
              <a:effectLst/>
              <a:latin typeface="Times New Roman" pitchFamily="18" charset="0"/>
              <a:ea typeface="Times New Roman" pitchFamily="18" charset="0"/>
              <a:cs typeface="Times New Roman" pitchFamily="18" charset="0"/>
            </a:rPr>
            <a:t>Теплопадение пара в ЦВД до смешения, кДж/кг</a:t>
          </a:r>
          <a:endParaRPr kumimoji="0" lang="ru-RU" b="0" i="0" u="none" strike="noStrike" cap="none" normalizeH="0" baseline="0">
            <a:ln>
              <a:noFill/>
            </a:ln>
            <a:solidFill>
              <a:srgbClr val="002060"/>
            </a:solidFill>
            <a:effectLst/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2</xdr:col>
      <xdr:colOff>179512</xdr:colOff>
      <xdr:row>136</xdr:row>
      <xdr:rowOff>155013</xdr:rowOff>
    </xdr:from>
    <xdr:to>
      <xdr:col>16</xdr:col>
      <xdr:colOff>139795</xdr:colOff>
      <xdr:row>140</xdr:row>
      <xdr:rowOff>54285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890A3D7C-CB44-10BF-74C6-3B0064BE97C3}"/>
            </a:ext>
          </a:extLst>
        </xdr:cNvPr>
        <xdr:cNvSpPr>
          <a:spLocks noChangeArrowheads="1"/>
        </xdr:cNvSpPr>
      </xdr:nvSpPr>
      <xdr:spPr bwMode="auto">
        <a:xfrm>
          <a:off x="3556218" y="25555013"/>
          <a:ext cx="8536518" cy="64633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vert="horz" wrap="square" lIns="91440" tIns="45720" rIns="91440" bIns="45720" numCol="1" anchor="ctr" anchorCtr="0" compatLnSpc="1">
          <a:prstTxWarp prst="textNoShape">
            <a:avLst/>
          </a:prstTxWarp>
          <a:spAutoFit/>
        </a:bodyPr>
        <a:lstStyle>
          <a:defPPr>
            <a:defRPr lang="ru-RU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algn="just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ru-RU" b="0" i="0" u="none" strike="noStrike" cap="none" normalizeH="0" baseline="0">
              <a:ln>
                <a:noFill/>
              </a:ln>
              <a:solidFill>
                <a:srgbClr val="002060"/>
              </a:solidFill>
              <a:effectLst/>
              <a:latin typeface="Times New Roman" pitchFamily="18" charset="0"/>
              <a:ea typeface="Times New Roman" pitchFamily="18" charset="0"/>
              <a:cs typeface="Times New Roman" pitchFamily="18" charset="0"/>
            </a:rPr>
            <a:t>2.	Внутренний относительный КПД проточной части </a:t>
          </a:r>
          <a:r>
            <a:rPr lang="ru-RU">
              <a:solidFill>
                <a:srgbClr val="002060"/>
              </a:solidFill>
              <a:latin typeface="Times New Roman" pitchFamily="18" charset="0"/>
              <a:ea typeface="Times New Roman" pitchFamily="18" charset="0"/>
              <a:cs typeface="Times New Roman" pitchFamily="18" charset="0"/>
            </a:rPr>
            <a:t>ЦН</a:t>
          </a:r>
          <a:r>
            <a:rPr kumimoji="0" lang="ru-RU" b="0" i="0" u="none" strike="noStrike" cap="none" normalizeH="0" baseline="0">
              <a:ln>
                <a:noFill/>
              </a:ln>
              <a:solidFill>
                <a:srgbClr val="002060"/>
              </a:solidFill>
              <a:effectLst/>
              <a:latin typeface="Times New Roman" pitchFamily="18" charset="0"/>
              <a:ea typeface="Times New Roman" pitchFamily="18" charset="0"/>
              <a:cs typeface="Times New Roman" pitchFamily="18" charset="0"/>
            </a:rPr>
            <a:t>Д определяют по приближенной эмпирической формуле:</a:t>
          </a:r>
          <a:endParaRPr kumimoji="0" lang="ru-RU" b="0" i="0" u="none" strike="noStrike" cap="none" normalizeH="0" baseline="30000">
            <a:ln>
              <a:noFill/>
            </a:ln>
            <a:solidFill>
              <a:srgbClr val="002060"/>
            </a:solidFill>
            <a:effectLst/>
            <a:latin typeface="Times New Roman" pitchFamily="18" charset="0"/>
            <a:ea typeface="Times New Roman" pitchFamily="18" charset="0"/>
            <a:cs typeface="Times New Roman" pitchFamily="18" charset="0"/>
            <a:sym typeface="Symbol" pitchFamily="18" charset="2"/>
          </a:endParaRPr>
        </a:p>
      </xdr:txBody>
    </xdr:sp>
    <xdr:clientData/>
  </xdr:twoCellAnchor>
  <xdr:twoCellAnchor>
    <xdr:from>
      <xdr:col>2</xdr:col>
      <xdr:colOff>395536</xdr:colOff>
      <xdr:row>145</xdr:row>
      <xdr:rowOff>58307</xdr:rowOff>
    </xdr:from>
    <xdr:to>
      <xdr:col>10</xdr:col>
      <xdr:colOff>20043</xdr:colOff>
      <xdr:row>147</xdr:row>
      <xdr:rowOff>54109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B9F34FE1-1525-8715-5B32-4C1DA02AC263}"/>
            </a:ext>
          </a:extLst>
        </xdr:cNvPr>
        <xdr:cNvSpPr>
          <a:spLocks noChangeArrowheads="1"/>
        </xdr:cNvSpPr>
      </xdr:nvSpPr>
      <xdr:spPr bwMode="auto">
        <a:xfrm>
          <a:off x="3772242" y="27139189"/>
          <a:ext cx="4525213" cy="36933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vert="horz" wrap="square" lIns="91440" tIns="45720" rIns="91440" bIns="45720" numCol="1" anchor="ctr" anchorCtr="0" compatLnSpc="1">
          <a:prstTxWarp prst="textNoShape">
            <a:avLst/>
          </a:prstTxWarp>
          <a:spAutoFit/>
        </a:bodyPr>
        <a:lstStyle>
          <a:defPPr>
            <a:defRPr lang="ru-RU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algn="just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lang="ru-RU">
              <a:solidFill>
                <a:srgbClr val="002060"/>
              </a:solidFill>
              <a:latin typeface="Times New Roman" pitchFamily="18" charset="0"/>
              <a:cs typeface="Times New Roman" pitchFamily="18" charset="0"/>
            </a:rPr>
            <a:t>Поправочный коэффициент влажности пара</a:t>
          </a:r>
          <a:endParaRPr kumimoji="0" lang="ru-RU" b="0" i="0" u="none" strike="noStrike" cap="none" normalizeH="0" baseline="0">
            <a:ln>
              <a:noFill/>
            </a:ln>
            <a:solidFill>
              <a:srgbClr val="002060"/>
            </a:solidFill>
            <a:effectLst/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113274</xdr:colOff>
          <xdr:row>168</xdr:row>
          <xdr:rowOff>133350</xdr:rowOff>
        </xdr:from>
        <xdr:to>
          <xdr:col>19</xdr:col>
          <xdr:colOff>581236</xdr:colOff>
          <xdr:row>202</xdr:row>
          <xdr:rowOff>31749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176EC867-B277-0B4B-2D57-CFE09C5AA1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257174</xdr:colOff>
      <xdr:row>169</xdr:row>
      <xdr:rowOff>161925</xdr:rowOff>
    </xdr:from>
    <xdr:to>
      <xdr:col>18</xdr:col>
      <xdr:colOff>222250</xdr:colOff>
      <xdr:row>196</xdr:row>
      <xdr:rowOff>69850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44D5C9D-2C1A-030D-85F3-47AEBE579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50800</xdr:colOff>
      <xdr:row>169</xdr:row>
      <xdr:rowOff>76200</xdr:rowOff>
    </xdr:from>
    <xdr:to>
      <xdr:col>27</xdr:col>
      <xdr:colOff>15876</xdr:colOff>
      <xdr:row>195</xdr:row>
      <xdr:rowOff>168275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8B2CD8F-1BFC-48A7-A281-23412F5FC1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44450</xdr:colOff>
      <xdr:row>48</xdr:row>
      <xdr:rowOff>98425</xdr:rowOff>
    </xdr:from>
    <xdr:to>
      <xdr:col>35</xdr:col>
      <xdr:colOff>349250</xdr:colOff>
      <xdr:row>63</xdr:row>
      <xdr:rowOff>79375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17EC37-255E-D5D8-2A16-FA114DF5B5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482600</xdr:colOff>
      <xdr:row>9</xdr:row>
      <xdr:rowOff>76200</xdr:rowOff>
    </xdr:from>
    <xdr:to>
      <xdr:col>25</xdr:col>
      <xdr:colOff>169507</xdr:colOff>
      <xdr:row>70</xdr:row>
      <xdr:rowOff>150803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93B3DD-8108-6CA1-98B9-88A3AD4EE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8600" y="1733550"/>
          <a:ext cx="8830907" cy="113077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117475</xdr:colOff>
      <xdr:row>12</xdr:row>
      <xdr:rowOff>168275</xdr:rowOff>
    </xdr:from>
    <xdr:to>
      <xdr:col>9</xdr:col>
      <xdr:colOff>422275</xdr:colOff>
      <xdr:row>27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F19301-C76E-B915-8DCB-BE259114C9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541565</xdr:colOff>
      <xdr:row>12</xdr:row>
      <xdr:rowOff>156029</xdr:rowOff>
    </xdr:from>
    <xdr:to>
      <xdr:col>17</xdr:col>
      <xdr:colOff>238579</xdr:colOff>
      <xdr:row>27</xdr:row>
      <xdr:rowOff>136978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79AD19-1E2E-4AB4-B2A6-42435C05FE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580570</xdr:colOff>
      <xdr:row>46</xdr:row>
      <xdr:rowOff>36285</xdr:rowOff>
    </xdr:from>
    <xdr:to>
      <xdr:col>10</xdr:col>
      <xdr:colOff>498928</xdr:colOff>
      <xdr:row>54</xdr:row>
      <xdr:rowOff>146957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68E558-CDD9-22A6-00F2-C38095615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583293</xdr:colOff>
      <xdr:row>60</xdr:row>
      <xdr:rowOff>63500</xdr:rowOff>
    </xdr:from>
    <xdr:to>
      <xdr:col>6</xdr:col>
      <xdr:colOff>558800</xdr:colOff>
      <xdr:row>73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885D63-2157-1367-3AF0-B95870320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260349</xdr:colOff>
      <xdr:row>61</xdr:row>
      <xdr:rowOff>125187</xdr:rowOff>
    </xdr:from>
    <xdr:to>
      <xdr:col>13</xdr:col>
      <xdr:colOff>97064</xdr:colOff>
      <xdr:row>72</xdr:row>
      <xdr:rowOff>177801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683E05-630A-4B15-8871-4F2A463FE6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mployee3/AppData/Roaming/Microsoft/AddIns/CoolProp.xla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2;&#1086;&#1076;&#1077;&#1083;&#1100;%20&#1055;&#1043;&#1059;-220&#1058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definedNames>
      <definedName name="PropsSI"/>
    </defined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одель ГТУ"/>
      <sheetName val="КУ+ПТ номинальный режим"/>
      <sheetName val="Теплофикационные режимы"/>
      <sheetName val="Лист1"/>
      <sheetName val="Конденсационные режимы"/>
      <sheetName val="Граф. исх. данных"/>
      <sheetName val="Таблицы для расчётов"/>
    </sheetNames>
    <sheetDataSet>
      <sheetData sheetId="0" refreshError="1"/>
      <sheetData sheetId="1" refreshError="1"/>
      <sheetData sheetId="2">
        <row r="11">
          <cell r="C11">
            <v>513.6</v>
          </cell>
          <cell r="D11">
            <v>521</v>
          </cell>
          <cell r="E11">
            <v>526.29999999999995</v>
          </cell>
          <cell r="F11">
            <v>531.5</v>
          </cell>
          <cell r="G11">
            <v>522</v>
          </cell>
          <cell r="H11">
            <v>521.1</v>
          </cell>
          <cell r="I11">
            <v>494.6</v>
          </cell>
          <cell r="J11">
            <v>452.1</v>
          </cell>
          <cell r="K11">
            <v>452.1</v>
          </cell>
          <cell r="L11">
            <v>494.6</v>
          </cell>
          <cell r="M11">
            <v>452.1</v>
          </cell>
        </row>
        <row r="23">
          <cell r="C23">
            <v>8.01</v>
          </cell>
          <cell r="D23">
            <v>8.2270000000000003</v>
          </cell>
          <cell r="E23">
            <v>8.3719999999999999</v>
          </cell>
          <cell r="F23">
            <v>8.5370000000000008</v>
          </cell>
          <cell r="G23">
            <v>8.4640000000000004</v>
          </cell>
          <cell r="H23">
            <v>8.4570000000000007</v>
          </cell>
          <cell r="I23">
            <v>8.2729999999999997</v>
          </cell>
          <cell r="J23">
            <v>8.0440000000000005</v>
          </cell>
          <cell r="K23">
            <v>8.0440000000000005</v>
          </cell>
          <cell r="L23">
            <v>8.2729999999999997</v>
          </cell>
          <cell r="M23">
            <v>8.0440000000000005</v>
          </cell>
        </row>
        <row r="27">
          <cell r="C27">
            <v>0.68100000000000005</v>
          </cell>
          <cell r="D27">
            <v>0.69599999999999995</v>
          </cell>
          <cell r="E27">
            <v>0.69299999999999995</v>
          </cell>
          <cell r="F27">
            <v>0.68500000000000005</v>
          </cell>
          <cell r="G27">
            <v>0.66800000000000004</v>
          </cell>
          <cell r="H27">
            <v>0.66700000000000004</v>
          </cell>
          <cell r="I27">
            <v>0.63600000000000001</v>
          </cell>
          <cell r="J27">
            <v>0.6</v>
          </cell>
          <cell r="K27">
            <v>0.6</v>
          </cell>
          <cell r="L27">
            <v>0.66400000000000003</v>
          </cell>
          <cell r="M27">
            <v>0.627</v>
          </cell>
        </row>
        <row r="31">
          <cell r="C31">
            <v>61.36</v>
          </cell>
          <cell r="D31">
            <v>62.92</v>
          </cell>
          <cell r="E31">
            <v>63.95</v>
          </cell>
          <cell r="F31">
            <v>65.150000000000006</v>
          </cell>
          <cell r="G31">
            <v>64.47</v>
          </cell>
          <cell r="H31">
            <v>64.41</v>
          </cell>
          <cell r="I31">
            <v>62.64</v>
          </cell>
          <cell r="J31">
            <v>60.26</v>
          </cell>
          <cell r="K31">
            <v>60.26</v>
          </cell>
          <cell r="L31">
            <v>62.64</v>
          </cell>
          <cell r="M31">
            <v>60.26</v>
          </cell>
        </row>
        <row r="32">
          <cell r="C32">
            <v>7.4790000000000001</v>
          </cell>
          <cell r="D32">
            <v>7.6760000000000002</v>
          </cell>
          <cell r="E32">
            <v>7.8109999999999999</v>
          </cell>
          <cell r="F32">
            <v>7.9610000000000003</v>
          </cell>
          <cell r="G32">
            <v>7.8959999999999999</v>
          </cell>
          <cell r="H32">
            <v>7.89</v>
          </cell>
          <cell r="I32">
            <v>7.7240000000000002</v>
          </cell>
          <cell r="J32">
            <v>7.5170000000000003</v>
          </cell>
          <cell r="K32">
            <v>7.5170000000000003</v>
          </cell>
          <cell r="L32">
            <v>7.7240000000000002</v>
          </cell>
          <cell r="M32">
            <v>7.5170000000000003</v>
          </cell>
        </row>
        <row r="33">
          <cell r="C33">
            <v>494.5</v>
          </cell>
          <cell r="D33">
            <v>496.1</v>
          </cell>
          <cell r="E33">
            <v>498.2</v>
          </cell>
          <cell r="F33">
            <v>500</v>
          </cell>
          <cell r="G33">
            <v>502.2</v>
          </cell>
          <cell r="H33">
            <v>502.4</v>
          </cell>
          <cell r="I33">
            <v>509.4</v>
          </cell>
          <cell r="J33">
            <v>523.4</v>
          </cell>
          <cell r="K33">
            <v>523.4</v>
          </cell>
          <cell r="L33">
            <v>509.4</v>
          </cell>
          <cell r="M33">
            <v>523.4</v>
          </cell>
        </row>
        <row r="35">
          <cell r="C35">
            <v>15.47</v>
          </cell>
          <cell r="D35">
            <v>15.6</v>
          </cell>
          <cell r="E35">
            <v>15.83</v>
          </cell>
          <cell r="F35">
            <v>16.100000000000001</v>
          </cell>
          <cell r="G35">
            <v>15.85</v>
          </cell>
          <cell r="H35">
            <v>15.82</v>
          </cell>
          <cell r="I35">
            <v>14.69</v>
          </cell>
          <cell r="J35">
            <v>12.88</v>
          </cell>
          <cell r="K35">
            <v>12.88</v>
          </cell>
          <cell r="L35">
            <v>14.4</v>
          </cell>
          <cell r="M35">
            <v>12.61</v>
          </cell>
        </row>
        <row r="36">
          <cell r="C36">
            <v>0.58799999999999997</v>
          </cell>
          <cell r="D36">
            <v>0.60099999999999998</v>
          </cell>
          <cell r="E36">
            <v>0.59499999999999997</v>
          </cell>
          <cell r="F36">
            <v>0.58499999999999996</v>
          </cell>
          <cell r="G36">
            <v>0.56899999999999995</v>
          </cell>
          <cell r="H36">
            <v>0.56799999999999995</v>
          </cell>
          <cell r="I36">
            <v>0.54600000000000004</v>
          </cell>
          <cell r="J36">
            <v>0.52200000000000002</v>
          </cell>
          <cell r="K36">
            <v>0.52200000000000002</v>
          </cell>
          <cell r="L36">
            <v>0.58099999999999996</v>
          </cell>
          <cell r="M36">
            <v>0.55600000000000005</v>
          </cell>
        </row>
        <row r="37">
          <cell r="C37">
            <v>210</v>
          </cell>
          <cell r="D37">
            <v>210</v>
          </cell>
          <cell r="E37">
            <v>210</v>
          </cell>
          <cell r="F37">
            <v>209.8</v>
          </cell>
          <cell r="G37">
            <v>209.6</v>
          </cell>
          <cell r="H37">
            <v>209.5</v>
          </cell>
          <cell r="I37">
            <v>207.4</v>
          </cell>
          <cell r="J37">
            <v>205.5</v>
          </cell>
          <cell r="K37">
            <v>205.8</v>
          </cell>
          <cell r="L37">
            <v>208.3</v>
          </cell>
          <cell r="M37">
            <v>206.4</v>
          </cell>
        </row>
        <row r="39">
          <cell r="C39">
            <v>76.53</v>
          </cell>
          <cell r="D39">
            <v>78.22</v>
          </cell>
          <cell r="E39">
            <v>79.489999999999995</v>
          </cell>
          <cell r="F39">
            <v>80.95</v>
          </cell>
          <cell r="G39">
            <v>80.02</v>
          </cell>
          <cell r="H39">
            <v>79.930000000000007</v>
          </cell>
          <cell r="I39">
            <v>77.040000000000006</v>
          </cell>
          <cell r="J39">
            <v>72.87</v>
          </cell>
          <cell r="K39">
            <v>72.88</v>
          </cell>
          <cell r="L39">
            <v>76.739999999999995</v>
          </cell>
          <cell r="M39">
            <v>72.59</v>
          </cell>
        </row>
        <row r="40">
          <cell r="C40">
            <v>0.52600000000000002</v>
          </cell>
          <cell r="D40">
            <v>0.53900000000000003</v>
          </cell>
          <cell r="E40">
            <v>0.53300000000000003</v>
          </cell>
          <cell r="F40">
            <v>0.52300000000000002</v>
          </cell>
          <cell r="G40">
            <v>0.50700000000000001</v>
          </cell>
          <cell r="H40">
            <v>0.50600000000000001</v>
          </cell>
          <cell r="I40">
            <v>0.48399999999999999</v>
          </cell>
          <cell r="J40">
            <v>0.46</v>
          </cell>
          <cell r="K40">
            <v>0.46</v>
          </cell>
          <cell r="L40">
            <v>0.51900000000000002</v>
          </cell>
          <cell r="M40">
            <v>0.49399999999999999</v>
          </cell>
        </row>
        <row r="41">
          <cell r="C41">
            <v>190.7</v>
          </cell>
          <cell r="D41">
            <v>191.3</v>
          </cell>
          <cell r="E41">
            <v>190.2</v>
          </cell>
          <cell r="F41">
            <v>188.4</v>
          </cell>
          <cell r="G41">
            <v>188</v>
          </cell>
          <cell r="H41">
            <v>188</v>
          </cell>
          <cell r="I41">
            <v>189.9</v>
          </cell>
          <cell r="J41">
            <v>195.68</v>
          </cell>
          <cell r="K41">
            <v>195.68</v>
          </cell>
          <cell r="L41">
            <v>194.9</v>
          </cell>
          <cell r="M41">
            <v>201</v>
          </cell>
        </row>
        <row r="43">
          <cell r="C43">
            <v>20.190000000000001</v>
          </cell>
          <cell r="D43">
            <v>20.440000000000001</v>
          </cell>
          <cell r="E43">
            <v>23.51</v>
          </cell>
          <cell r="F43">
            <v>30.26</v>
          </cell>
          <cell r="G43">
            <v>37.619999999999997</v>
          </cell>
          <cell r="H43">
            <v>38.22</v>
          </cell>
          <cell r="I43">
            <v>43</v>
          </cell>
          <cell r="J43">
            <v>41.91</v>
          </cell>
          <cell r="K43">
            <v>41.91</v>
          </cell>
          <cell r="L43">
            <v>0</v>
          </cell>
          <cell r="M43">
            <v>0</v>
          </cell>
        </row>
        <row r="44">
          <cell r="C44">
            <v>0.21629999999999999</v>
          </cell>
          <cell r="D44">
            <v>0.2225</v>
          </cell>
          <cell r="E44">
            <v>0.19389999999999999</v>
          </cell>
          <cell r="F44">
            <v>0.1497</v>
          </cell>
          <cell r="G44">
            <v>0.1123</v>
          </cell>
          <cell r="H44">
            <v>0.1096</v>
          </cell>
          <cell r="I44">
            <v>8.4599999999999995E-2</v>
          </cell>
          <cell r="J44">
            <v>7.6700000000000004E-2</v>
          </cell>
          <cell r="K44">
            <v>7.6700000000000004E-2</v>
          </cell>
          <cell r="L44">
            <v>0.2046</v>
          </cell>
          <cell r="M44">
            <v>0.19500000000000001</v>
          </cell>
        </row>
        <row r="45">
          <cell r="C45">
            <v>122.6</v>
          </cell>
          <cell r="D45">
            <v>123.6</v>
          </cell>
          <cell r="E45">
            <v>119.2</v>
          </cell>
          <cell r="F45">
            <v>111.3</v>
          </cell>
          <cell r="G45">
            <v>102.9</v>
          </cell>
          <cell r="H45">
            <v>102.2</v>
          </cell>
          <cell r="I45">
            <v>95</v>
          </cell>
          <cell r="J45">
            <v>92.4</v>
          </cell>
          <cell r="K45">
            <v>92.4</v>
          </cell>
          <cell r="L45">
            <v>120.9</v>
          </cell>
          <cell r="M45">
            <v>121.8</v>
          </cell>
        </row>
        <row r="47">
          <cell r="C47">
            <v>51.91</v>
          </cell>
          <cell r="D47">
            <v>53.34</v>
          </cell>
          <cell r="E47">
            <v>51.53</v>
          </cell>
          <cell r="F47">
            <v>46.24</v>
          </cell>
          <cell r="G47">
            <v>37.96</v>
          </cell>
          <cell r="H47">
            <v>37.270000000000003</v>
          </cell>
          <cell r="I47">
            <v>29.59</v>
          </cell>
          <cell r="J47">
            <v>25.67</v>
          </cell>
          <cell r="K47">
            <v>26.51</v>
          </cell>
          <cell r="L47">
            <v>47.22</v>
          </cell>
          <cell r="M47">
            <v>46.75</v>
          </cell>
        </row>
        <row r="48">
          <cell r="C48">
            <v>0.1608</v>
          </cell>
          <cell r="D48">
            <v>0.16569999999999999</v>
          </cell>
          <cell r="E48">
            <v>0.13389999999999999</v>
          </cell>
          <cell r="F48">
            <v>8.6199999999999999E-2</v>
          </cell>
          <cell r="G48">
            <v>5.1499999999999997E-2</v>
          </cell>
          <cell r="H48">
            <v>4.9099999999999998E-2</v>
          </cell>
          <cell r="I48">
            <v>3.1199999999999999E-2</v>
          </cell>
          <cell r="J48">
            <v>2.7900000000000001E-2</v>
          </cell>
          <cell r="K48">
            <v>2.7900000000000001E-2</v>
          </cell>
          <cell r="L48">
            <v>5.0799999999999998E-2</v>
          </cell>
          <cell r="M48">
            <v>5.0900000000000001E-2</v>
          </cell>
        </row>
        <row r="49">
          <cell r="C49">
            <v>113.4</v>
          </cell>
          <cell r="D49">
            <v>114.4</v>
          </cell>
          <cell r="E49">
            <v>108</v>
          </cell>
          <cell r="F49">
            <v>95.5</v>
          </cell>
          <cell r="G49">
            <v>82</v>
          </cell>
          <cell r="H49">
            <v>80.900000000000006</v>
          </cell>
          <cell r="I49">
            <v>69.900000000000006</v>
          </cell>
          <cell r="J49">
            <v>67.37</v>
          </cell>
          <cell r="K49">
            <v>67.37</v>
          </cell>
          <cell r="L49">
            <v>81.72</v>
          </cell>
          <cell r="M49">
            <v>81.73</v>
          </cell>
        </row>
        <row r="51">
          <cell r="C51">
            <v>4.4400000000000004</v>
          </cell>
          <cell r="D51">
            <v>4.4400000000000004</v>
          </cell>
          <cell r="E51">
            <v>4.4400000000000004</v>
          </cell>
          <cell r="F51">
            <v>4.4400000000000004</v>
          </cell>
          <cell r="G51">
            <v>4.4400000000000004</v>
          </cell>
          <cell r="H51">
            <v>4.4400000000000004</v>
          </cell>
          <cell r="I51">
            <v>4.4400000000000004</v>
          </cell>
          <cell r="J51">
            <v>4.4400000000000004</v>
          </cell>
          <cell r="K51">
            <v>4.4400000000000004</v>
          </cell>
          <cell r="L51">
            <v>29.53</v>
          </cell>
          <cell r="M51">
            <v>25.8</v>
          </cell>
        </row>
        <row r="52">
          <cell r="C52">
            <v>89.57</v>
          </cell>
          <cell r="D52">
            <v>90.17</v>
          </cell>
          <cell r="E52">
            <v>74.319999999999993</v>
          </cell>
          <cell r="F52">
            <v>42.9</v>
          </cell>
          <cell r="G52">
            <v>42.72</v>
          </cell>
          <cell r="H52">
            <v>42.7</v>
          </cell>
          <cell r="I52">
            <v>42.72</v>
          </cell>
          <cell r="J52">
            <v>45.8</v>
          </cell>
          <cell r="K52">
            <v>48</v>
          </cell>
          <cell r="L52">
            <v>83.56</v>
          </cell>
          <cell r="M52">
            <v>80.58</v>
          </cell>
        </row>
        <row r="60">
          <cell r="C60">
            <v>4.4400000000000004</v>
          </cell>
          <cell r="D60">
            <v>4.4400000000000004</v>
          </cell>
          <cell r="E60">
            <v>4.4400000000000004</v>
          </cell>
          <cell r="F60">
            <v>4.4400000000000004</v>
          </cell>
          <cell r="G60">
            <v>4.4400000000000004</v>
          </cell>
          <cell r="H60">
            <v>4.4400000000000004</v>
          </cell>
          <cell r="I60">
            <v>4.4400000000000004</v>
          </cell>
          <cell r="J60">
            <v>4.4400000000000004</v>
          </cell>
          <cell r="K60">
            <v>4.4400000000000004</v>
          </cell>
          <cell r="L60">
            <v>29.53</v>
          </cell>
          <cell r="M60">
            <v>25.8</v>
          </cell>
        </row>
        <row r="61">
          <cell r="C61">
            <v>3.3999999999999998E-3</v>
          </cell>
          <cell r="D61">
            <v>3.3999999999999998E-3</v>
          </cell>
          <cell r="E61">
            <v>3.3999999999999998E-3</v>
          </cell>
          <cell r="F61">
            <v>3.3999999999999998E-3</v>
          </cell>
          <cell r="G61">
            <v>3.3999999999999998E-3</v>
          </cell>
          <cell r="H61">
            <v>3.3999999999999998E-3</v>
          </cell>
          <cell r="I61">
            <v>3.5999999999999999E-3</v>
          </cell>
          <cell r="J61">
            <v>6.3E-3</v>
          </cell>
          <cell r="K61">
            <v>8.2000000000000007E-3</v>
          </cell>
          <cell r="L61">
            <v>6.1000000000000004E-3</v>
          </cell>
          <cell r="M61">
            <v>9.7000000000000003E-3</v>
          </cell>
        </row>
        <row r="127">
          <cell r="C127">
            <v>431.4</v>
          </cell>
          <cell r="D127">
            <v>437.5</v>
          </cell>
          <cell r="E127">
            <v>447.6</v>
          </cell>
          <cell r="F127">
            <v>441.4</v>
          </cell>
          <cell r="G127">
            <v>418.2</v>
          </cell>
          <cell r="H127">
            <v>382</v>
          </cell>
        </row>
        <row r="139">
          <cell r="C139">
            <v>6.83</v>
          </cell>
          <cell r="D139">
            <v>7.0069999999999997</v>
          </cell>
          <cell r="E139">
            <v>7.2869999999999999</v>
          </cell>
          <cell r="F139">
            <v>7.2510000000000003</v>
          </cell>
          <cell r="G139">
            <v>7.08</v>
          </cell>
          <cell r="H139">
            <v>6.8680000000000003</v>
          </cell>
        </row>
        <row r="143">
          <cell r="C143">
            <v>0.55800000000000005</v>
          </cell>
          <cell r="D143">
            <v>0.56999999999999995</v>
          </cell>
          <cell r="E143">
            <v>0.56200000000000006</v>
          </cell>
          <cell r="F143">
            <v>0.55200000000000005</v>
          </cell>
          <cell r="G143">
            <v>0.55300000000000005</v>
          </cell>
          <cell r="H143">
            <v>0.52300000000000002</v>
          </cell>
        </row>
        <row r="147">
          <cell r="C147">
            <v>51.75</v>
          </cell>
          <cell r="D147">
            <v>53</v>
          </cell>
          <cell r="E147">
            <v>54.97</v>
          </cell>
          <cell r="F147">
            <v>54.61</v>
          </cell>
          <cell r="G147">
            <v>53.06</v>
          </cell>
          <cell r="H147">
            <v>50.92</v>
          </cell>
        </row>
        <row r="148">
          <cell r="C148">
            <v>6.4009999999999998</v>
          </cell>
          <cell r="D148">
            <v>6.5640000000000001</v>
          </cell>
          <cell r="E148">
            <v>6.8209999999999997</v>
          </cell>
          <cell r="F148">
            <v>6.7889999999999997</v>
          </cell>
          <cell r="G148">
            <v>6.633</v>
          </cell>
          <cell r="H148">
            <v>6.4409999999999998</v>
          </cell>
        </row>
        <row r="149">
          <cell r="C149">
            <v>497.9</v>
          </cell>
          <cell r="D149">
            <v>500.5</v>
          </cell>
          <cell r="E149">
            <v>504.1</v>
          </cell>
          <cell r="F149">
            <v>506.1</v>
          </cell>
          <cell r="G149">
            <v>513.1</v>
          </cell>
          <cell r="H149">
            <v>527.29999999999995</v>
          </cell>
        </row>
        <row r="151">
          <cell r="C151">
            <v>12.72</v>
          </cell>
          <cell r="D151">
            <v>12.83</v>
          </cell>
          <cell r="E151">
            <v>13.31</v>
          </cell>
          <cell r="F151">
            <v>13.14</v>
          </cell>
          <cell r="G151">
            <v>12.12</v>
          </cell>
          <cell r="H151">
            <v>10.87</v>
          </cell>
        </row>
        <row r="152">
          <cell r="C152">
            <v>0.48199999999999998</v>
          </cell>
          <cell r="D152">
            <v>0.49399999999999999</v>
          </cell>
          <cell r="E152">
            <v>0.48</v>
          </cell>
          <cell r="F152">
            <v>0.47</v>
          </cell>
          <cell r="G152">
            <v>0.48399999999999999</v>
          </cell>
          <cell r="H152">
            <v>0.46400000000000002</v>
          </cell>
        </row>
        <row r="153">
          <cell r="C153">
            <v>204.5</v>
          </cell>
          <cell r="D153">
            <v>205.3</v>
          </cell>
          <cell r="E153">
            <v>205.1</v>
          </cell>
          <cell r="F153">
            <v>204.6</v>
          </cell>
          <cell r="G153">
            <v>204.3</v>
          </cell>
          <cell r="H153">
            <v>202.3</v>
          </cell>
        </row>
        <row r="155">
          <cell r="C155">
            <v>64.22</v>
          </cell>
          <cell r="D155">
            <v>65.58</v>
          </cell>
          <cell r="E155">
            <v>68.03</v>
          </cell>
          <cell r="F155">
            <v>67.5</v>
          </cell>
          <cell r="G155">
            <v>64.92</v>
          </cell>
          <cell r="H155">
            <v>61.55</v>
          </cell>
        </row>
        <row r="156">
          <cell r="C156">
            <v>0.44400000000000001</v>
          </cell>
          <cell r="D156">
            <v>0.45600000000000002</v>
          </cell>
          <cell r="E156">
            <v>0.442</v>
          </cell>
          <cell r="F156">
            <v>0.432</v>
          </cell>
          <cell r="G156">
            <v>0.44600000000000001</v>
          </cell>
          <cell r="H156">
            <v>0.42599999999999999</v>
          </cell>
        </row>
        <row r="157">
          <cell r="C157">
            <v>192.1</v>
          </cell>
          <cell r="D157">
            <v>193.5</v>
          </cell>
          <cell r="E157">
            <v>190.2</v>
          </cell>
          <cell r="F157">
            <v>190</v>
          </cell>
          <cell r="G157">
            <v>197.7</v>
          </cell>
          <cell r="H157">
            <v>204.4</v>
          </cell>
        </row>
        <row r="161">
          <cell r="C161">
            <v>18.010000000000002</v>
          </cell>
          <cell r="D161">
            <v>17.760000000000002</v>
          </cell>
          <cell r="E161">
            <v>27.69</v>
          </cell>
          <cell r="F161">
            <v>33.33</v>
          </cell>
          <cell r="G161">
            <v>0</v>
          </cell>
          <cell r="H161">
            <v>0</v>
          </cell>
        </row>
        <row r="162">
          <cell r="C162">
            <v>0.1754</v>
          </cell>
          <cell r="D162">
            <v>0.1883</v>
          </cell>
          <cell r="E162">
            <v>0.1148</v>
          </cell>
          <cell r="F162">
            <v>8.9300000000000004E-2</v>
          </cell>
          <cell r="G162">
            <v>0.1787</v>
          </cell>
          <cell r="H162">
            <v>0.1714</v>
          </cell>
        </row>
        <row r="163">
          <cell r="C163">
            <v>119.4</v>
          </cell>
          <cell r="D163">
            <v>122.2</v>
          </cell>
          <cell r="E163">
            <v>103.5</v>
          </cell>
          <cell r="F163">
            <v>96.5</v>
          </cell>
          <cell r="G163">
            <v>120.2</v>
          </cell>
          <cell r="H163">
            <v>126.3</v>
          </cell>
        </row>
        <row r="165">
          <cell r="C165">
            <v>41.78</v>
          </cell>
          <cell r="D165">
            <v>43.39</v>
          </cell>
          <cell r="E165">
            <v>35.89</v>
          </cell>
          <cell r="F165">
            <v>29.72</v>
          </cell>
          <cell r="G165">
            <v>46.07</v>
          </cell>
          <cell r="H165">
            <v>46.55</v>
          </cell>
        </row>
        <row r="166">
          <cell r="C166">
            <v>0.12839999999999999</v>
          </cell>
          <cell r="D166">
            <v>0.1452</v>
          </cell>
          <cell r="E166">
            <v>6.0600000000000001E-2</v>
          </cell>
          <cell r="F166">
            <v>3.9800000000000002E-2</v>
          </cell>
          <cell r="G166">
            <v>5.21E-2</v>
          </cell>
          <cell r="H166">
            <v>5.1700000000000003E-2</v>
          </cell>
        </row>
        <row r="167">
          <cell r="C167">
            <v>106.7</v>
          </cell>
          <cell r="D167">
            <v>110.4</v>
          </cell>
          <cell r="E167">
            <v>86.2</v>
          </cell>
          <cell r="F167">
            <v>75.8</v>
          </cell>
          <cell r="G167">
            <v>82.3</v>
          </cell>
          <cell r="H167">
            <v>82.14</v>
          </cell>
        </row>
        <row r="169">
          <cell r="C169">
            <v>4.4400000000000004</v>
          </cell>
          <cell r="D169">
            <v>4.4400000000000004</v>
          </cell>
          <cell r="E169">
            <v>4.4400000000000004</v>
          </cell>
          <cell r="F169">
            <v>4.4400000000000004</v>
          </cell>
          <cell r="G169">
            <v>18.84</v>
          </cell>
          <cell r="H169">
            <v>16</v>
          </cell>
        </row>
        <row r="170">
          <cell r="C170">
            <v>90.9</v>
          </cell>
          <cell r="D170">
            <v>93.3</v>
          </cell>
          <cell r="E170">
            <v>35.08</v>
          </cell>
          <cell r="F170">
            <v>35.369999999999997</v>
          </cell>
          <cell r="G170">
            <v>63</v>
          </cell>
          <cell r="H170">
            <v>61.89</v>
          </cell>
        </row>
        <row r="178">
          <cell r="C178">
            <v>4.4400000000000004</v>
          </cell>
          <cell r="D178">
            <v>4.4400000000000004</v>
          </cell>
          <cell r="E178">
            <v>4.4400000000000004</v>
          </cell>
          <cell r="F178">
            <v>4.4400000000000004</v>
          </cell>
          <cell r="G178">
            <v>18.84</v>
          </cell>
          <cell r="H178">
            <v>16</v>
          </cell>
        </row>
        <row r="179">
          <cell r="C179">
            <v>1.8E-3</v>
          </cell>
          <cell r="D179">
            <v>2.0999999999999999E-3</v>
          </cell>
          <cell r="E179">
            <v>2.3999999999999998E-3</v>
          </cell>
          <cell r="F179">
            <v>2.7000000000000001E-3</v>
          </cell>
          <cell r="G179">
            <v>5.0000000000000001E-3</v>
          </cell>
          <cell r="H179">
            <v>1.06E-2</v>
          </cell>
        </row>
        <row r="247">
          <cell r="C247">
            <v>357</v>
          </cell>
          <cell r="D247">
            <v>362</v>
          </cell>
          <cell r="E247">
            <v>370.2</v>
          </cell>
          <cell r="F247">
            <v>367.2</v>
          </cell>
          <cell r="G247">
            <v>347.7</v>
          </cell>
          <cell r="H247">
            <v>317.60000000000002</v>
          </cell>
        </row>
        <row r="259">
          <cell r="C259">
            <v>5.5270000000000001</v>
          </cell>
          <cell r="D259">
            <v>5.6689999999999996</v>
          </cell>
          <cell r="E259">
            <v>5.8840000000000003</v>
          </cell>
          <cell r="F259">
            <v>5.8849999999999998</v>
          </cell>
          <cell r="G259">
            <v>5.7469999999999999</v>
          </cell>
          <cell r="H259">
            <v>5.5739999999999998</v>
          </cell>
        </row>
        <row r="263">
          <cell r="C263">
            <v>0.46100000000000002</v>
          </cell>
          <cell r="D263">
            <v>0.46300000000000002</v>
          </cell>
          <cell r="E263">
            <v>0.46600000000000003</v>
          </cell>
          <cell r="F263">
            <v>0.46500000000000002</v>
          </cell>
          <cell r="G263">
            <v>0.45700000000000002</v>
          </cell>
          <cell r="H263">
            <v>0.44600000000000001</v>
          </cell>
        </row>
        <row r="267">
          <cell r="C267">
            <v>41.97</v>
          </cell>
          <cell r="D267">
            <v>42.97</v>
          </cell>
          <cell r="E267">
            <v>44.5</v>
          </cell>
          <cell r="F267">
            <v>44.44</v>
          </cell>
          <cell r="G267">
            <v>43.17</v>
          </cell>
          <cell r="H267">
            <v>41.42</v>
          </cell>
        </row>
        <row r="268">
          <cell r="C268">
            <v>5.1989999999999998</v>
          </cell>
          <cell r="D268">
            <v>5.3310000000000004</v>
          </cell>
          <cell r="E268">
            <v>5.5289999999999999</v>
          </cell>
          <cell r="F268">
            <v>5.53</v>
          </cell>
          <cell r="G268">
            <v>5.4039999999999999</v>
          </cell>
          <cell r="H268">
            <v>5.2460000000000004</v>
          </cell>
        </row>
        <row r="269">
          <cell r="C269">
            <v>492.2</v>
          </cell>
          <cell r="D269">
            <v>495</v>
          </cell>
          <cell r="E269">
            <v>499</v>
          </cell>
          <cell r="F269">
            <v>500.9</v>
          </cell>
          <cell r="G269">
            <v>507.8</v>
          </cell>
          <cell r="H269">
            <v>522.1</v>
          </cell>
        </row>
        <row r="271">
          <cell r="C271">
            <v>10.57</v>
          </cell>
          <cell r="D271">
            <v>10.74</v>
          </cell>
          <cell r="E271">
            <v>11.04</v>
          </cell>
          <cell r="F271">
            <v>10.92</v>
          </cell>
          <cell r="G271">
            <v>10.17</v>
          </cell>
          <cell r="H271">
            <v>9.0299999999999994</v>
          </cell>
        </row>
        <row r="272">
          <cell r="C272">
            <v>0.4</v>
          </cell>
          <cell r="D272">
            <v>0.4</v>
          </cell>
          <cell r="E272">
            <v>0.4</v>
          </cell>
          <cell r="F272">
            <v>0.4</v>
          </cell>
          <cell r="G272">
            <v>0.4</v>
          </cell>
          <cell r="H272">
            <v>0.4</v>
          </cell>
        </row>
        <row r="273">
          <cell r="C273">
            <v>199.4</v>
          </cell>
          <cell r="D273">
            <v>199.6</v>
          </cell>
          <cell r="E273">
            <v>199.8</v>
          </cell>
          <cell r="F273">
            <v>199.7</v>
          </cell>
          <cell r="G273">
            <v>199</v>
          </cell>
          <cell r="H273">
            <v>197.8</v>
          </cell>
        </row>
        <row r="275">
          <cell r="C275">
            <v>52.33</v>
          </cell>
          <cell r="D275">
            <v>53.5</v>
          </cell>
          <cell r="E275">
            <v>55.33</v>
          </cell>
          <cell r="F275">
            <v>55.2</v>
          </cell>
          <cell r="G275">
            <v>53.14</v>
          </cell>
          <cell r="H275">
            <v>50.25</v>
          </cell>
        </row>
        <row r="276">
          <cell r="C276">
            <v>0.35799999999999998</v>
          </cell>
          <cell r="D276">
            <v>0.36399999999999999</v>
          </cell>
          <cell r="E276">
            <v>0.35699999999999998</v>
          </cell>
          <cell r="F276">
            <v>0.35199999999999998</v>
          </cell>
          <cell r="G276">
            <v>0.36599999999999999</v>
          </cell>
          <cell r="H276">
            <v>0.35199999999999998</v>
          </cell>
        </row>
        <row r="277">
          <cell r="C277">
            <v>191.5</v>
          </cell>
          <cell r="D277">
            <v>192.3</v>
          </cell>
          <cell r="E277">
            <v>190.4</v>
          </cell>
          <cell r="F277">
            <v>190.3</v>
          </cell>
          <cell r="G277">
            <v>198.5</v>
          </cell>
          <cell r="H277">
            <v>206.1</v>
          </cell>
        </row>
        <row r="279">
          <cell r="C279">
            <v>17.62</v>
          </cell>
          <cell r="D279">
            <v>16.23</v>
          </cell>
          <cell r="E279">
            <v>25</v>
          </cell>
          <cell r="F279">
            <v>29.86</v>
          </cell>
          <cell r="G279">
            <v>0</v>
          </cell>
          <cell r="H279">
            <v>0</v>
          </cell>
        </row>
        <row r="280">
          <cell r="C280">
            <v>0.13089999999999999</v>
          </cell>
          <cell r="D280">
            <v>0.13439999999999999</v>
          </cell>
          <cell r="E280">
            <v>8.4900000000000003E-2</v>
          </cell>
          <cell r="F280">
            <v>6.4899999999999999E-2</v>
          </cell>
          <cell r="G280">
            <v>0.14760000000000001</v>
          </cell>
          <cell r="H280">
            <v>0.14910000000000001</v>
          </cell>
        </row>
        <row r="281">
          <cell r="C281">
            <v>116.1</v>
          </cell>
          <cell r="D281">
            <v>114.4</v>
          </cell>
          <cell r="E281">
            <v>95.1</v>
          </cell>
          <cell r="F281">
            <v>87.9</v>
          </cell>
          <cell r="G281">
            <v>122.5</v>
          </cell>
          <cell r="H281">
            <v>132.69999999999999</v>
          </cell>
        </row>
        <row r="283">
          <cell r="C283">
            <v>30.28</v>
          </cell>
          <cell r="D283">
            <v>32.83</v>
          </cell>
          <cell r="E283">
            <v>25.9</v>
          </cell>
          <cell r="F283">
            <v>20.86</v>
          </cell>
          <cell r="G283">
            <v>45.45</v>
          </cell>
          <cell r="H283">
            <v>44.72</v>
          </cell>
        </row>
        <row r="284">
          <cell r="C284">
            <v>9.6299999999999997E-2</v>
          </cell>
          <cell r="D284">
            <v>9.5200000000000007E-2</v>
          </cell>
          <cell r="E284">
            <v>4.3900000000000002E-2</v>
          </cell>
          <cell r="F284">
            <v>3.0300000000000001E-2</v>
          </cell>
          <cell r="G284">
            <v>4.6199999999999998E-2</v>
          </cell>
          <cell r="H284">
            <v>5.7799999999999997E-2</v>
          </cell>
        </row>
        <row r="285">
          <cell r="C285">
            <v>98.6</v>
          </cell>
          <cell r="D285">
            <v>98.2</v>
          </cell>
          <cell r="E285">
            <v>78.099999999999994</v>
          </cell>
          <cell r="F285">
            <v>69.3</v>
          </cell>
          <cell r="G285">
            <v>79.400000000000006</v>
          </cell>
          <cell r="H285">
            <v>84.9</v>
          </cell>
        </row>
        <row r="287">
          <cell r="C287">
            <v>4.4400000000000004</v>
          </cell>
          <cell r="D287">
            <v>4.4400000000000004</v>
          </cell>
          <cell r="E287">
            <v>4.4400000000000004</v>
          </cell>
          <cell r="F287">
            <v>4.4400000000000004</v>
          </cell>
          <cell r="G287">
            <v>7.68</v>
          </cell>
          <cell r="H287">
            <v>5.52</v>
          </cell>
        </row>
        <row r="288">
          <cell r="C288">
            <v>91.3</v>
          </cell>
          <cell r="D288">
            <v>84.58</v>
          </cell>
          <cell r="E288">
            <v>35.06</v>
          </cell>
          <cell r="F288">
            <v>35.39</v>
          </cell>
          <cell r="G288">
            <v>45.43</v>
          </cell>
          <cell r="H288">
            <v>68.8</v>
          </cell>
        </row>
        <row r="296">
          <cell r="C296">
            <v>4.4400000000000004</v>
          </cell>
          <cell r="D296">
            <v>4.4400000000000004</v>
          </cell>
          <cell r="E296">
            <v>4.4400000000000004</v>
          </cell>
          <cell r="F296">
            <v>4.4400000000000004</v>
          </cell>
          <cell r="G296">
            <v>7.68</v>
          </cell>
          <cell r="H296">
            <v>5.52</v>
          </cell>
        </row>
        <row r="297">
          <cell r="C297">
            <v>1.6999999999999999E-3</v>
          </cell>
          <cell r="D297">
            <v>2.0999999999999999E-3</v>
          </cell>
          <cell r="E297">
            <v>2.3999999999999998E-3</v>
          </cell>
          <cell r="F297">
            <v>2.7000000000000001E-3</v>
          </cell>
          <cell r="G297">
            <v>3.8999999999999998E-3</v>
          </cell>
          <cell r="H297">
            <v>8.5000000000000006E-3</v>
          </cell>
        </row>
      </sheetData>
      <sheetData sheetId="3" refreshError="1"/>
      <sheetData sheetId="4">
        <row r="15">
          <cell r="C15">
            <v>516.20000000000005</v>
          </cell>
          <cell r="D15">
            <v>513.6</v>
          </cell>
          <cell r="E15">
            <v>521</v>
          </cell>
          <cell r="F15">
            <v>526.29999999999995</v>
          </cell>
          <cell r="G15">
            <v>531.5</v>
          </cell>
          <cell r="H15">
            <v>522</v>
          </cell>
          <cell r="I15">
            <v>521.1</v>
          </cell>
          <cell r="J15">
            <v>503.8</v>
          </cell>
          <cell r="K15">
            <v>494.6</v>
          </cell>
          <cell r="L15">
            <v>494.6</v>
          </cell>
          <cell r="M15">
            <v>452.1</v>
          </cell>
          <cell r="N15">
            <v>452.1</v>
          </cell>
        </row>
        <row r="27">
          <cell r="C27">
            <v>8.0250000000000004</v>
          </cell>
          <cell r="D27">
            <v>8.0109999999999992</v>
          </cell>
          <cell r="E27">
            <v>8.2240000000000002</v>
          </cell>
          <cell r="F27">
            <v>8.3719999999999999</v>
          </cell>
          <cell r="G27">
            <v>8.5359999999999996</v>
          </cell>
          <cell r="H27">
            <v>8.4640000000000004</v>
          </cell>
          <cell r="I27">
            <v>8.4570000000000007</v>
          </cell>
          <cell r="J27">
            <v>8.407</v>
          </cell>
          <cell r="K27">
            <v>8.2729999999999997</v>
          </cell>
          <cell r="L27">
            <v>8.2729999999999997</v>
          </cell>
          <cell r="M27">
            <v>8.0429999999999993</v>
          </cell>
          <cell r="N27">
            <v>8.0429999999999993</v>
          </cell>
        </row>
        <row r="31">
          <cell r="C31">
            <v>0.68700000000000006</v>
          </cell>
          <cell r="D31">
            <v>0.68400000000000005</v>
          </cell>
          <cell r="E31">
            <v>0.69699999999999995</v>
          </cell>
          <cell r="F31">
            <v>0.70599999999999996</v>
          </cell>
          <cell r="G31">
            <v>0.71599999999999997</v>
          </cell>
          <cell r="H31">
            <v>0.70699999999999996</v>
          </cell>
          <cell r="I31">
            <v>0.70599999999999996</v>
          </cell>
          <cell r="J31">
            <v>0.69099999999999995</v>
          </cell>
          <cell r="K31">
            <v>0.68</v>
          </cell>
          <cell r="L31">
            <v>0.68100000000000005</v>
          </cell>
          <cell r="M31">
            <v>0.64400000000000002</v>
          </cell>
          <cell r="N31">
            <v>0.64400000000000002</v>
          </cell>
        </row>
        <row r="35">
          <cell r="B35" t="str">
            <v>Расход пара, кг/с</v>
          </cell>
          <cell r="C35">
            <v>61.51</v>
          </cell>
          <cell r="D35">
            <v>61.36</v>
          </cell>
          <cell r="E35">
            <v>62.88</v>
          </cell>
          <cell r="F35">
            <v>63.95</v>
          </cell>
          <cell r="G35">
            <v>65.14</v>
          </cell>
          <cell r="H35">
            <v>64.47</v>
          </cell>
          <cell r="I35">
            <v>64.400000000000006</v>
          </cell>
          <cell r="J35">
            <v>63.4</v>
          </cell>
          <cell r="K35">
            <v>62.63</v>
          </cell>
          <cell r="L35">
            <v>62.63</v>
          </cell>
          <cell r="M35">
            <v>60.24</v>
          </cell>
          <cell r="N35">
            <v>60.24</v>
          </cell>
        </row>
        <row r="36">
          <cell r="B36" t="str">
            <v>Давление пара, МПа</v>
          </cell>
          <cell r="C36">
            <v>7.4930000000000003</v>
          </cell>
          <cell r="D36">
            <v>7.48</v>
          </cell>
          <cell r="E36">
            <v>7.6760000000000002</v>
          </cell>
          <cell r="F36">
            <v>7.8109999999999999</v>
          </cell>
          <cell r="G36">
            <v>7.9610000000000003</v>
          </cell>
          <cell r="H36">
            <v>7.8959999999999999</v>
          </cell>
          <cell r="I36">
            <v>7.8890000000000002</v>
          </cell>
          <cell r="J36">
            <v>7.8449999999999998</v>
          </cell>
          <cell r="K36">
            <v>7.7229999999999999</v>
          </cell>
          <cell r="L36">
            <v>7.7229999999999999</v>
          </cell>
          <cell r="M36">
            <v>7.5170000000000003</v>
          </cell>
          <cell r="N36">
            <v>7.5170000000000003</v>
          </cell>
        </row>
        <row r="37">
          <cell r="B37" t="str">
            <v>Температура пара, °С:</v>
          </cell>
          <cell r="C37">
            <v>493.8</v>
          </cell>
          <cell r="D37">
            <v>494.5</v>
          </cell>
          <cell r="E37">
            <v>496.8</v>
          </cell>
          <cell r="F37">
            <v>498.2</v>
          </cell>
          <cell r="G37">
            <v>500</v>
          </cell>
          <cell r="H37">
            <v>502.2</v>
          </cell>
          <cell r="I37">
            <v>502.4</v>
          </cell>
          <cell r="J37">
            <v>508.6</v>
          </cell>
          <cell r="K37">
            <v>509.4</v>
          </cell>
          <cell r="L37">
            <v>509.4</v>
          </cell>
          <cell r="M37">
            <v>524</v>
          </cell>
          <cell r="N37">
            <v>524</v>
          </cell>
        </row>
        <row r="38">
          <cell r="B38" t="str">
            <v>Пар НД на входе в турбину:</v>
          </cell>
        </row>
        <row r="39">
          <cell r="B39" t="str">
            <v>Расход пара, кг/с</v>
          </cell>
          <cell r="C39">
            <v>15.51</v>
          </cell>
          <cell r="D39">
            <v>15.42</v>
          </cell>
          <cell r="E39">
            <v>15.59</v>
          </cell>
          <cell r="F39">
            <v>15.69</v>
          </cell>
          <cell r="G39">
            <v>15.78</v>
          </cell>
          <cell r="H39">
            <v>15.46</v>
          </cell>
          <cell r="I39">
            <v>15.43</v>
          </cell>
          <cell r="J39">
            <v>14.76</v>
          </cell>
          <cell r="K39">
            <v>14.49</v>
          </cell>
          <cell r="L39">
            <v>14.53</v>
          </cell>
          <cell r="M39">
            <v>13</v>
          </cell>
          <cell r="N39">
            <v>12.99</v>
          </cell>
        </row>
        <row r="40">
          <cell r="B40" t="str">
            <v>Давление пара, МПа</v>
          </cell>
          <cell r="C40">
            <v>0.59799999999999998</v>
          </cell>
          <cell r="D40">
            <v>0.59599999999999997</v>
          </cell>
          <cell r="E40">
            <v>0.60799999999999998</v>
          </cell>
          <cell r="F40">
            <v>0.61699999999999999</v>
          </cell>
          <cell r="G40">
            <v>0.627</v>
          </cell>
          <cell r="H40">
            <v>0.62</v>
          </cell>
          <cell r="I40">
            <v>0.61899999999999999</v>
          </cell>
          <cell r="J40">
            <v>0.61099999999999999</v>
          </cell>
          <cell r="K40">
            <v>0.60199999999999998</v>
          </cell>
          <cell r="L40">
            <v>0.60199999999999998</v>
          </cell>
          <cell r="M40">
            <v>0.57799999999999996</v>
          </cell>
          <cell r="N40">
            <v>0.57899999999999996</v>
          </cell>
        </row>
        <row r="41">
          <cell r="B41" t="str">
            <v>Температура пара, °С</v>
          </cell>
          <cell r="C41">
            <v>210.3</v>
          </cell>
          <cell r="D41" t="str">
            <v>210.2</v>
          </cell>
          <cell r="E41">
            <v>210.7</v>
          </cell>
          <cell r="F41">
            <v>211.1</v>
          </cell>
          <cell r="G41">
            <v>211.4</v>
          </cell>
          <cell r="H41">
            <v>210.8</v>
          </cell>
          <cell r="I41">
            <v>210.8</v>
          </cell>
          <cell r="J41">
            <v>209.8</v>
          </cell>
          <cell r="K41">
            <v>209.2</v>
          </cell>
          <cell r="L41">
            <v>209.2</v>
          </cell>
          <cell r="M41">
            <v>206.5</v>
          </cell>
          <cell r="N41">
            <v>206.5</v>
          </cell>
        </row>
        <row r="42">
          <cell r="B42" t="str">
            <v>Пар после смешения:</v>
          </cell>
        </row>
        <row r="43">
          <cell r="B43" t="str">
            <v>Расход, кг/с</v>
          </cell>
          <cell r="C43">
            <v>76.72</v>
          </cell>
          <cell r="D43">
            <v>76.5</v>
          </cell>
          <cell r="E43">
            <v>78.17</v>
          </cell>
          <cell r="F43">
            <v>79.33</v>
          </cell>
          <cell r="G43">
            <v>80.61</v>
          </cell>
          <cell r="H43">
            <v>79.62</v>
          </cell>
          <cell r="I43">
            <v>79.52</v>
          </cell>
          <cell r="J43">
            <v>78.16</v>
          </cell>
          <cell r="K43">
            <v>76.819999999999993</v>
          </cell>
          <cell r="L43">
            <v>76.86</v>
          </cell>
          <cell r="M43">
            <v>72.94</v>
          </cell>
          <cell r="N43">
            <v>72.94</v>
          </cell>
        </row>
        <row r="44">
          <cell r="B44" t="str">
            <v>Давление пара, МПа</v>
          </cell>
          <cell r="C44">
            <v>0.53600000000000003</v>
          </cell>
          <cell r="D44">
            <v>0.53400000000000003</v>
          </cell>
          <cell r="E44">
            <v>0.54600000000000004</v>
          </cell>
          <cell r="F44">
            <v>0.55500000000000005</v>
          </cell>
          <cell r="G44">
            <v>0.56499999999999995</v>
          </cell>
          <cell r="H44">
            <v>0.55800000000000005</v>
          </cell>
          <cell r="I44">
            <v>0.55700000000000005</v>
          </cell>
          <cell r="J44">
            <v>0.54900000000000004</v>
          </cell>
          <cell r="K44">
            <v>0.54</v>
          </cell>
          <cell r="L44">
            <v>0.54</v>
          </cell>
          <cell r="M44">
            <v>0.51600000000000001</v>
          </cell>
          <cell r="N44">
            <v>0.51700000000000002</v>
          </cell>
        </row>
        <row r="45">
          <cell r="B45" t="str">
            <v>Температура пара,°С</v>
          </cell>
          <cell r="C45">
            <v>191.6</v>
          </cell>
          <cell r="D45">
            <v>191.9</v>
          </cell>
          <cell r="E45">
            <v>192.8</v>
          </cell>
          <cell r="F45">
            <v>193.3</v>
          </cell>
          <cell r="G45">
            <v>194.4</v>
          </cell>
          <cell r="H45">
            <v>195.1</v>
          </cell>
          <cell r="I45">
            <v>195.2</v>
          </cell>
          <cell r="J45">
            <v>197.8</v>
          </cell>
          <cell r="K45">
            <v>198</v>
          </cell>
          <cell r="L45">
            <v>198</v>
          </cell>
          <cell r="M45">
            <v>204.7</v>
          </cell>
          <cell r="N45">
            <v>204.6</v>
          </cell>
        </row>
        <row r="46">
          <cell r="B46" t="str">
            <v>Пар в отборе 2:</v>
          </cell>
        </row>
        <row r="47">
          <cell r="B47" t="str">
            <v>Расход, кг/с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B48" t="str">
            <v>Давление пара, МПа</v>
          </cell>
          <cell r="C48">
            <v>0.24829999999999999</v>
          </cell>
          <cell r="D48">
            <v>0.24759999999999999</v>
          </cell>
          <cell r="E48">
            <v>0.25330000000000003</v>
          </cell>
          <cell r="F48">
            <v>0.25719999999999998</v>
          </cell>
          <cell r="G48">
            <v>0.2616</v>
          </cell>
          <cell r="H48">
            <v>0.25850000000000001</v>
          </cell>
          <cell r="I48">
            <v>0.25819999999999999</v>
          </cell>
          <cell r="J48">
            <v>0.25419999999999998</v>
          </cell>
          <cell r="K48">
            <v>0.25</v>
          </cell>
          <cell r="L48">
            <v>0.25019999999999998</v>
          </cell>
          <cell r="M48">
            <v>0.2392</v>
          </cell>
          <cell r="N48">
            <v>0.23980000000000001</v>
          </cell>
        </row>
        <row r="49">
          <cell r="B49" t="str">
            <v>Температура пара, °С</v>
          </cell>
          <cell r="C49">
            <v>127.2</v>
          </cell>
          <cell r="D49">
            <v>127.1</v>
          </cell>
          <cell r="E49">
            <v>127.8</v>
          </cell>
          <cell r="F49">
            <v>128.30000000000001</v>
          </cell>
          <cell r="G49">
            <v>128.9</v>
          </cell>
          <cell r="H49">
            <v>129</v>
          </cell>
          <cell r="I49">
            <v>129.19999999999999</v>
          </cell>
          <cell r="J49">
            <v>131.4</v>
          </cell>
          <cell r="K49">
            <v>131.6</v>
          </cell>
          <cell r="L49">
            <v>131.69999999999999</v>
          </cell>
          <cell r="M49">
            <v>137.6</v>
          </cell>
          <cell r="N49">
            <v>137.69999999999999</v>
          </cell>
        </row>
        <row r="50">
          <cell r="B50" t="str">
            <v>Пар в отборе 1:</v>
          </cell>
        </row>
        <row r="51">
          <cell r="B51" t="str">
            <v>Расход, кг/с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</row>
        <row r="52">
          <cell r="B52" t="str">
            <v>Давление пара, МПа</v>
          </cell>
          <cell r="C52">
            <v>0.1492</v>
          </cell>
          <cell r="D52">
            <v>0.1487</v>
          </cell>
          <cell r="E52">
            <v>0.1522</v>
          </cell>
          <cell r="F52">
            <v>0.15459999999999999</v>
          </cell>
          <cell r="G52">
            <v>0.15720000000000001</v>
          </cell>
          <cell r="H52">
            <v>0.15540000000000001</v>
          </cell>
          <cell r="I52">
            <v>0.1552</v>
          </cell>
          <cell r="J52">
            <v>0.1525</v>
          </cell>
          <cell r="K52">
            <v>0.15</v>
          </cell>
          <cell r="L52">
            <v>0.15029999999999999</v>
          </cell>
          <cell r="M52">
            <v>0.14369999999999999</v>
          </cell>
          <cell r="N52">
            <v>0.14460000000000001</v>
          </cell>
        </row>
        <row r="53">
          <cell r="B53" t="str">
            <v>Температура пара, °С</v>
          </cell>
          <cell r="C53">
            <v>111.2</v>
          </cell>
          <cell r="D53">
            <v>111.1</v>
          </cell>
          <cell r="E53">
            <v>111.8</v>
          </cell>
          <cell r="F53">
            <v>112.2</v>
          </cell>
          <cell r="G53">
            <v>112.8</v>
          </cell>
          <cell r="H53">
            <v>112.4</v>
          </cell>
          <cell r="I53">
            <v>112.4</v>
          </cell>
          <cell r="J53">
            <v>111.8</v>
          </cell>
          <cell r="K53">
            <v>111.3</v>
          </cell>
          <cell r="L53">
            <v>111.4</v>
          </cell>
          <cell r="M53">
            <v>110.1</v>
          </cell>
          <cell r="N53">
            <v>110.2</v>
          </cell>
        </row>
        <row r="54">
          <cell r="B54" t="str">
            <v>Пар перед ЦНД:</v>
          </cell>
        </row>
        <row r="55">
          <cell r="B55" t="str">
            <v>Расход, кг/с</v>
          </cell>
          <cell r="C55">
            <v>76.72</v>
          </cell>
          <cell r="D55">
            <v>76.5</v>
          </cell>
          <cell r="E55">
            <v>78.17</v>
          </cell>
          <cell r="F55">
            <v>79.33</v>
          </cell>
          <cell r="G55">
            <v>80.61</v>
          </cell>
          <cell r="H55">
            <v>79.62</v>
          </cell>
          <cell r="I55">
            <v>79.52</v>
          </cell>
          <cell r="J55">
            <v>78.16</v>
          </cell>
          <cell r="K55">
            <v>76.819999999999993</v>
          </cell>
          <cell r="L55">
            <v>76.86</v>
          </cell>
          <cell r="M55">
            <v>72.94</v>
          </cell>
          <cell r="N55">
            <v>72.94</v>
          </cell>
        </row>
        <row r="56">
          <cell r="B56" t="str">
            <v>Температура пара, °С</v>
          </cell>
          <cell r="C56">
            <v>111.2</v>
          </cell>
          <cell r="D56">
            <v>111.1</v>
          </cell>
          <cell r="E56">
            <v>111.2</v>
          </cell>
          <cell r="F56">
            <v>112.2</v>
          </cell>
          <cell r="G56">
            <v>112.8</v>
          </cell>
          <cell r="H56">
            <v>112.4</v>
          </cell>
          <cell r="I56">
            <v>112.4</v>
          </cell>
          <cell r="J56">
            <v>111.8</v>
          </cell>
          <cell r="K56">
            <v>111.3</v>
          </cell>
          <cell r="L56">
            <v>111.4</v>
          </cell>
          <cell r="M56">
            <v>110.1</v>
          </cell>
          <cell r="N56">
            <v>110.2</v>
          </cell>
        </row>
        <row r="57">
          <cell r="B57" t="str">
            <v>Степень сухости пара/влажность пара , %</v>
          </cell>
        </row>
        <row r="63">
          <cell r="B63" t="str">
            <v>Пар после ЦНД:</v>
          </cell>
        </row>
        <row r="64">
          <cell r="B64" t="str">
            <v>Расход, кг/с</v>
          </cell>
          <cell r="C64">
            <v>76.73</v>
          </cell>
          <cell r="D64">
            <v>76.489999999999995</v>
          </cell>
          <cell r="E64">
            <v>78.17</v>
          </cell>
          <cell r="F64">
            <v>79.33</v>
          </cell>
          <cell r="G64">
            <v>80.61</v>
          </cell>
          <cell r="H64">
            <v>79.62</v>
          </cell>
          <cell r="I64">
            <v>79.52</v>
          </cell>
          <cell r="J64">
            <v>78.16</v>
          </cell>
          <cell r="K64">
            <v>76.819999999999993</v>
          </cell>
          <cell r="L64">
            <v>76.86</v>
          </cell>
          <cell r="M64">
            <v>72.94</v>
          </cell>
          <cell r="N64">
            <v>72.94</v>
          </cell>
        </row>
        <row r="65">
          <cell r="B65" t="str">
            <v>Давление пара, МПа</v>
          </cell>
          <cell r="C65">
            <v>7.0000000000000001E-3</v>
          </cell>
          <cell r="D65">
            <v>6.8999999999999999E-3</v>
          </cell>
          <cell r="E65">
            <v>8.3999999999999995E-3</v>
          </cell>
          <cell r="F65">
            <v>8.5000000000000006E-3</v>
          </cell>
          <cell r="G65">
            <v>0.01</v>
          </cell>
          <cell r="H65">
            <v>1.06E-2</v>
          </cell>
          <cell r="I65">
            <v>1.06E-2</v>
          </cell>
          <cell r="J65">
            <v>8.0000000000000002E-3</v>
          </cell>
          <cell r="K65">
            <v>0.01</v>
          </cell>
          <cell r="L65">
            <v>1.32E-2</v>
          </cell>
          <cell r="M65">
            <v>0.02</v>
          </cell>
          <cell r="N65">
            <v>2.52E-2</v>
          </cell>
        </row>
        <row r="66">
          <cell r="B66" t="str">
            <v>Степень сухости пара/влажность пара , %</v>
          </cell>
        </row>
        <row r="133">
          <cell r="C133">
            <v>431.4</v>
          </cell>
          <cell r="D133">
            <v>437.5</v>
          </cell>
          <cell r="E133">
            <v>447.6</v>
          </cell>
          <cell r="F133">
            <v>441.4</v>
          </cell>
          <cell r="G133">
            <v>418.2</v>
          </cell>
          <cell r="H133">
            <v>382</v>
          </cell>
        </row>
        <row r="145">
          <cell r="C145">
            <v>6.83</v>
          </cell>
          <cell r="D145">
            <v>7.0069999999999997</v>
          </cell>
          <cell r="E145">
            <v>7.2869999999999999</v>
          </cell>
          <cell r="F145">
            <v>7.2510000000000003</v>
          </cell>
          <cell r="G145">
            <v>7.08</v>
          </cell>
          <cell r="H145">
            <v>6.8680000000000003</v>
          </cell>
        </row>
        <row r="149">
          <cell r="C149">
            <v>0.55600000000000005</v>
          </cell>
          <cell r="D149">
            <v>0.56699999999999995</v>
          </cell>
          <cell r="E149">
            <v>0.58399999999999996</v>
          </cell>
          <cell r="F149">
            <v>0.57799999999999996</v>
          </cell>
          <cell r="G149">
            <v>0.55600000000000005</v>
          </cell>
          <cell r="H149">
            <v>0.52600000000000002</v>
          </cell>
        </row>
        <row r="153">
          <cell r="C153">
            <v>51.75</v>
          </cell>
          <cell r="D153">
            <v>53</v>
          </cell>
          <cell r="E153">
            <v>54.97</v>
          </cell>
          <cell r="F153">
            <v>54.61</v>
          </cell>
          <cell r="G153">
            <v>53.06</v>
          </cell>
          <cell r="H153">
            <v>50.92</v>
          </cell>
        </row>
        <row r="154">
          <cell r="C154">
            <v>6.4009999999999998</v>
          </cell>
          <cell r="D154">
            <v>6.5640000000000001</v>
          </cell>
          <cell r="E154">
            <v>6.8209999999999997</v>
          </cell>
          <cell r="F154">
            <v>6.7889999999999997</v>
          </cell>
          <cell r="G154">
            <v>6.633</v>
          </cell>
          <cell r="H154">
            <v>6.4409999999999998</v>
          </cell>
        </row>
        <row r="155">
          <cell r="C155">
            <v>497.9</v>
          </cell>
          <cell r="D155">
            <v>500.5</v>
          </cell>
          <cell r="E155">
            <v>504.1</v>
          </cell>
          <cell r="F155">
            <v>506.1</v>
          </cell>
          <cell r="G155">
            <v>513.1</v>
          </cell>
          <cell r="H155">
            <v>527.29999999999995</v>
          </cell>
        </row>
        <row r="157">
          <cell r="C157">
            <v>12.74</v>
          </cell>
          <cell r="D157">
            <v>12.87</v>
          </cell>
          <cell r="E157">
            <v>13.1</v>
          </cell>
          <cell r="F157">
            <v>12.88</v>
          </cell>
          <cell r="G157">
            <v>12.09</v>
          </cell>
          <cell r="H157">
            <v>10.85</v>
          </cell>
        </row>
        <row r="158">
          <cell r="C158">
            <v>0.48</v>
          </cell>
          <cell r="D158">
            <v>0.49</v>
          </cell>
          <cell r="E158">
            <v>0.50600000000000001</v>
          </cell>
          <cell r="F158">
            <v>0.503</v>
          </cell>
          <cell r="G158">
            <v>0.48799999999999999</v>
          </cell>
          <cell r="H158">
            <v>0.46800000000000003</v>
          </cell>
        </row>
        <row r="159">
          <cell r="C159">
            <v>204.7</v>
          </cell>
          <cell r="D159">
            <v>205.2</v>
          </cell>
          <cell r="E159">
            <v>206</v>
          </cell>
          <cell r="F159">
            <v>205.7</v>
          </cell>
          <cell r="G159">
            <v>204.4</v>
          </cell>
          <cell r="H159">
            <v>202.4</v>
          </cell>
        </row>
        <row r="161">
          <cell r="C161">
            <v>64.25</v>
          </cell>
          <cell r="D161">
            <v>65.61</v>
          </cell>
          <cell r="E161">
            <v>67.81</v>
          </cell>
          <cell r="F161">
            <v>67.22</v>
          </cell>
          <cell r="G161">
            <v>64.89</v>
          </cell>
          <cell r="H161">
            <v>61.55</v>
          </cell>
        </row>
        <row r="162">
          <cell r="C162">
            <v>0.442</v>
          </cell>
          <cell r="D162">
            <v>0.45200000000000001</v>
          </cell>
          <cell r="E162">
            <v>0.46800000000000003</v>
          </cell>
          <cell r="F162">
            <v>0.46500000000000002</v>
          </cell>
          <cell r="G162">
            <v>0.45</v>
          </cell>
          <cell r="H162">
            <v>0.43</v>
          </cell>
        </row>
        <row r="163">
          <cell r="C163">
            <v>191.7</v>
          </cell>
          <cell r="D163">
            <v>192.8</v>
          </cell>
          <cell r="E163">
            <v>194.4</v>
          </cell>
          <cell r="F163">
            <v>195.3</v>
          </cell>
          <cell r="G163">
            <v>198.3</v>
          </cell>
          <cell r="H163">
            <v>205.1</v>
          </cell>
        </row>
        <row r="165"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</row>
        <row r="166">
          <cell r="C166">
            <v>0.184</v>
          </cell>
          <cell r="D166">
            <v>0.189</v>
          </cell>
          <cell r="E166">
            <v>0.19500000000000001</v>
          </cell>
          <cell r="F166">
            <v>0.19400000000000001</v>
          </cell>
          <cell r="G166">
            <v>0.188</v>
          </cell>
          <cell r="H166">
            <v>0.18</v>
          </cell>
        </row>
        <row r="167">
          <cell r="C167">
            <v>118.4</v>
          </cell>
          <cell r="D167">
            <v>119.3</v>
          </cell>
          <cell r="E167">
            <v>120.4</v>
          </cell>
          <cell r="F167">
            <v>121.1</v>
          </cell>
          <cell r="G167">
            <v>123.9</v>
          </cell>
          <cell r="H167">
            <v>129.9</v>
          </cell>
        </row>
        <row r="169"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</row>
        <row r="170">
          <cell r="C170">
            <v>0.08</v>
          </cell>
          <cell r="D170">
            <v>8.2000000000000003E-2</v>
          </cell>
          <cell r="E170">
            <v>8.5000000000000006E-2</v>
          </cell>
          <cell r="F170">
            <v>8.4000000000000005E-2</v>
          </cell>
          <cell r="G170">
            <v>8.1000000000000003E-2</v>
          </cell>
          <cell r="H170">
            <v>7.9000000000000001E-2</v>
          </cell>
        </row>
        <row r="171">
          <cell r="C171">
            <v>93.4</v>
          </cell>
          <cell r="D171">
            <v>94</v>
          </cell>
          <cell r="E171">
            <v>95</v>
          </cell>
          <cell r="F171">
            <v>94.8</v>
          </cell>
          <cell r="G171">
            <v>93.9</v>
          </cell>
          <cell r="H171">
            <v>93</v>
          </cell>
        </row>
        <row r="173">
          <cell r="C173">
            <v>64.25</v>
          </cell>
          <cell r="D173">
            <v>65.61</v>
          </cell>
          <cell r="E173">
            <v>67.81</v>
          </cell>
          <cell r="F173">
            <v>67.22</v>
          </cell>
          <cell r="G173">
            <v>64.89</v>
          </cell>
          <cell r="H173">
            <v>61.55</v>
          </cell>
        </row>
        <row r="174">
          <cell r="C174">
            <v>93.4</v>
          </cell>
          <cell r="D174">
            <v>94</v>
          </cell>
          <cell r="E174">
            <v>95</v>
          </cell>
          <cell r="F174">
            <v>94.8</v>
          </cell>
          <cell r="G174">
            <v>93.9</v>
          </cell>
          <cell r="H174">
            <v>93</v>
          </cell>
        </row>
        <row r="177">
          <cell r="C177">
            <v>64.25</v>
          </cell>
          <cell r="D177">
            <v>65.61</v>
          </cell>
          <cell r="E177">
            <v>67.81</v>
          </cell>
          <cell r="F177">
            <v>67.22</v>
          </cell>
          <cell r="G177">
            <v>64.89</v>
          </cell>
          <cell r="H177">
            <v>61.55</v>
          </cell>
        </row>
        <row r="178">
          <cell r="C178">
            <v>6.0000000000000001E-3</v>
          </cell>
          <cell r="D178">
            <v>7.0000000000000001E-3</v>
          </cell>
          <cell r="E178">
            <v>8.0000000000000002E-3</v>
          </cell>
          <cell r="F178">
            <v>8.9999999999999993E-3</v>
          </cell>
          <cell r="G178">
            <v>1.0999999999999999E-2</v>
          </cell>
          <cell r="H178">
            <v>1.7000000000000001E-2</v>
          </cell>
        </row>
        <row r="249">
          <cell r="C249">
            <v>357</v>
          </cell>
          <cell r="D249">
            <v>362</v>
          </cell>
          <cell r="E249">
            <v>370.2</v>
          </cell>
          <cell r="F249">
            <v>367.2</v>
          </cell>
          <cell r="G249">
            <v>347.7</v>
          </cell>
          <cell r="H249">
            <v>317.60000000000002</v>
          </cell>
        </row>
        <row r="261">
          <cell r="C261">
            <v>5.5270000000000001</v>
          </cell>
          <cell r="D261">
            <v>5.6689999999999996</v>
          </cell>
          <cell r="E261">
            <v>5.8840000000000003</v>
          </cell>
          <cell r="F261">
            <v>5.8849999999999998</v>
          </cell>
          <cell r="G261">
            <v>5.7469999999999999</v>
          </cell>
          <cell r="H261">
            <v>5.5739999999999998</v>
          </cell>
        </row>
        <row r="265">
          <cell r="C265">
            <v>0.46100000000000002</v>
          </cell>
          <cell r="D265">
            <v>0.46300000000000002</v>
          </cell>
          <cell r="E265">
            <v>0.46600000000000003</v>
          </cell>
          <cell r="F265">
            <v>0.46500000000000002</v>
          </cell>
          <cell r="G265">
            <v>0.45700000000000002</v>
          </cell>
          <cell r="H265">
            <v>0.44600000000000001</v>
          </cell>
        </row>
        <row r="269">
          <cell r="C269">
            <v>41.97</v>
          </cell>
          <cell r="D269">
            <v>42.97</v>
          </cell>
          <cell r="E269">
            <v>44.5</v>
          </cell>
          <cell r="F269">
            <v>44.44</v>
          </cell>
          <cell r="G269">
            <v>43.17</v>
          </cell>
          <cell r="H269">
            <v>41.42</v>
          </cell>
        </row>
        <row r="270">
          <cell r="C270">
            <v>5.1989999999999998</v>
          </cell>
          <cell r="D270">
            <v>5.3310000000000004</v>
          </cell>
          <cell r="E270">
            <v>5.5289999999999999</v>
          </cell>
          <cell r="F270">
            <v>5.53</v>
          </cell>
          <cell r="G270">
            <v>5.4039999999999999</v>
          </cell>
          <cell r="H270">
            <v>5.2460000000000004</v>
          </cell>
        </row>
        <row r="271">
          <cell r="C271">
            <v>492.2</v>
          </cell>
          <cell r="D271">
            <v>495</v>
          </cell>
          <cell r="E271">
            <v>499</v>
          </cell>
          <cell r="F271">
            <v>500.9</v>
          </cell>
          <cell r="G271">
            <v>507.8</v>
          </cell>
          <cell r="H271">
            <v>522.1</v>
          </cell>
        </row>
        <row r="273">
          <cell r="C273">
            <v>10.57</v>
          </cell>
          <cell r="D273">
            <v>10.74</v>
          </cell>
          <cell r="E273">
            <v>11.04</v>
          </cell>
          <cell r="F273">
            <v>10.92</v>
          </cell>
          <cell r="G273">
            <v>10.17</v>
          </cell>
          <cell r="H273">
            <v>9.0299999999999994</v>
          </cell>
        </row>
        <row r="274">
          <cell r="C274">
            <v>0.4</v>
          </cell>
          <cell r="D274">
            <v>0.4</v>
          </cell>
          <cell r="E274">
            <v>0.4</v>
          </cell>
          <cell r="F274">
            <v>0.4</v>
          </cell>
          <cell r="G274">
            <v>0.4</v>
          </cell>
          <cell r="H274">
            <v>0.4</v>
          </cell>
        </row>
        <row r="275">
          <cell r="C275">
            <v>199.4</v>
          </cell>
          <cell r="D275">
            <v>199.6</v>
          </cell>
          <cell r="E275">
            <v>199.8</v>
          </cell>
          <cell r="F275">
            <v>199.7</v>
          </cell>
          <cell r="G275">
            <v>199</v>
          </cell>
          <cell r="H275">
            <v>197.8</v>
          </cell>
        </row>
        <row r="277">
          <cell r="C277">
            <v>52.33</v>
          </cell>
          <cell r="D277">
            <v>53.5</v>
          </cell>
          <cell r="E277">
            <v>55.33</v>
          </cell>
          <cell r="F277">
            <v>55.2</v>
          </cell>
          <cell r="G277">
            <v>53.14</v>
          </cell>
          <cell r="H277">
            <v>50.25</v>
          </cell>
        </row>
        <row r="278">
          <cell r="C278">
            <v>0.36</v>
          </cell>
          <cell r="D278">
            <v>0.36899999999999999</v>
          </cell>
          <cell r="E278">
            <v>0.38200000000000001</v>
          </cell>
          <cell r="F278">
            <v>0.38100000000000001</v>
          </cell>
          <cell r="G278">
            <v>0.36699999999999999</v>
          </cell>
          <cell r="H278">
            <v>0.35099999999999998</v>
          </cell>
        </row>
        <row r="279">
          <cell r="C279">
            <v>191.9</v>
          </cell>
          <cell r="D279">
            <v>193.2</v>
          </cell>
          <cell r="E279">
            <v>195.2</v>
          </cell>
          <cell r="F279">
            <v>196</v>
          </cell>
          <cell r="G279">
            <v>196.1</v>
          </cell>
          <cell r="H279">
            <v>205.8</v>
          </cell>
        </row>
        <row r="281"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</row>
        <row r="282">
          <cell r="C282">
            <v>0.15</v>
          </cell>
          <cell r="D282">
            <v>0.15379999999999999</v>
          </cell>
          <cell r="E282">
            <v>0.1595</v>
          </cell>
          <cell r="F282">
            <v>0.15909999999999999</v>
          </cell>
          <cell r="G282">
            <v>0.153</v>
          </cell>
          <cell r="H282">
            <v>0.1469</v>
          </cell>
        </row>
        <row r="283">
          <cell r="C283">
            <v>119.3</v>
          </cell>
          <cell r="D283">
            <v>120.4</v>
          </cell>
          <cell r="E283">
            <v>122.1</v>
          </cell>
          <cell r="F283">
            <v>122.9</v>
          </cell>
          <cell r="G283">
            <v>122.1</v>
          </cell>
          <cell r="H283">
            <v>131.6</v>
          </cell>
        </row>
        <row r="285"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</row>
        <row r="286">
          <cell r="C286">
            <v>6.4699999999999994E-2</v>
          </cell>
          <cell r="D286">
            <v>6.6299999999999998E-2</v>
          </cell>
          <cell r="E286">
            <v>6.88E-2</v>
          </cell>
          <cell r="F286">
            <v>6.8599999999999994E-2</v>
          </cell>
          <cell r="G286">
            <v>6.6000000000000003E-2</v>
          </cell>
          <cell r="H286">
            <v>6.4000000000000001E-2</v>
          </cell>
        </row>
        <row r="287">
          <cell r="C287">
            <v>87.9</v>
          </cell>
          <cell r="D287">
            <v>88.5</v>
          </cell>
          <cell r="E287">
            <v>89.5</v>
          </cell>
          <cell r="F287">
            <v>89.4</v>
          </cell>
          <cell r="G287">
            <v>88.4</v>
          </cell>
          <cell r="H287">
            <v>87.6</v>
          </cell>
        </row>
        <row r="289">
          <cell r="C289">
            <v>52.33</v>
          </cell>
          <cell r="D289">
            <v>53.5</v>
          </cell>
          <cell r="E289">
            <v>55.33</v>
          </cell>
          <cell r="F289">
            <v>55.17</v>
          </cell>
          <cell r="G289">
            <v>53.14</v>
          </cell>
          <cell r="H289">
            <v>50.25</v>
          </cell>
        </row>
        <row r="290">
          <cell r="C290">
            <v>87.9</v>
          </cell>
          <cell r="D290">
            <v>88.5</v>
          </cell>
          <cell r="E290">
            <v>89.5</v>
          </cell>
          <cell r="F290">
            <v>89.4</v>
          </cell>
          <cell r="G290">
            <v>88.5</v>
          </cell>
          <cell r="H290">
            <v>87.6</v>
          </cell>
        </row>
        <row r="293">
          <cell r="C293">
            <v>52.3</v>
          </cell>
          <cell r="D293">
            <v>53.5</v>
          </cell>
          <cell r="E293">
            <v>55.33</v>
          </cell>
          <cell r="F293">
            <v>55.17</v>
          </cell>
          <cell r="G293">
            <v>53.14</v>
          </cell>
          <cell r="H293">
            <v>50.25</v>
          </cell>
        </row>
        <row r="294">
          <cell r="C294">
            <v>4.7999999999999996E-3</v>
          </cell>
          <cell r="D294">
            <v>5.7000000000000002E-3</v>
          </cell>
          <cell r="E294">
            <v>6.6E-3</v>
          </cell>
          <cell r="F294">
            <v>7.3000000000000001E-3</v>
          </cell>
          <cell r="G294">
            <v>9.1999999999999998E-3</v>
          </cell>
          <cell r="H294">
            <v>1.47E-2</v>
          </cell>
        </row>
      </sheetData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png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46D57-895F-4ADE-87F4-F285EE07A103}">
  <dimension ref="A1:S40"/>
  <sheetViews>
    <sheetView zoomScale="115" zoomScaleNormal="115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B28" sqref="B28"/>
    </sheetView>
  </sheetViews>
  <sheetFormatPr defaultRowHeight="14.5" x14ac:dyDescent="0.35"/>
  <cols>
    <col min="1" max="1" width="10.6328125" bestFit="1" customWidth="1"/>
    <col min="2" max="2" width="35.08984375" bestFit="1" customWidth="1"/>
  </cols>
  <sheetData>
    <row r="1" spans="1:19" x14ac:dyDescent="0.35">
      <c r="D1" s="1">
        <v>0.5</v>
      </c>
      <c r="I1" s="1">
        <v>1</v>
      </c>
    </row>
    <row r="2" spans="1:19" x14ac:dyDescent="0.35">
      <c r="C2">
        <v>-40</v>
      </c>
      <c r="D2">
        <v>-28</v>
      </c>
      <c r="E2">
        <v>-10.199999999999999</v>
      </c>
      <c r="F2">
        <v>-3.1</v>
      </c>
      <c r="G2">
        <v>15</v>
      </c>
      <c r="H2">
        <v>37</v>
      </c>
      <c r="I2">
        <v>-40</v>
      </c>
      <c r="J2">
        <v>-28</v>
      </c>
      <c r="K2">
        <v>-20</v>
      </c>
      <c r="L2">
        <v>-10.199999999999999</v>
      </c>
      <c r="M2">
        <v>-3.1</v>
      </c>
      <c r="N2">
        <v>-2.5</v>
      </c>
      <c r="O2">
        <v>15</v>
      </c>
      <c r="P2">
        <v>37</v>
      </c>
      <c r="Q2">
        <v>37</v>
      </c>
      <c r="R2">
        <v>15</v>
      </c>
      <c r="S2">
        <v>37</v>
      </c>
    </row>
    <row r="3" spans="1:19" x14ac:dyDescent="0.35">
      <c r="A3">
        <v>13</v>
      </c>
      <c r="B3" t="s">
        <v>0</v>
      </c>
    </row>
    <row r="4" spans="1:19" x14ac:dyDescent="0.35">
      <c r="B4" t="s">
        <v>1</v>
      </c>
      <c r="C4">
        <v>17.62</v>
      </c>
      <c r="D4">
        <v>16.23</v>
      </c>
      <c r="E4">
        <v>25</v>
      </c>
      <c r="F4">
        <v>29.86</v>
      </c>
      <c r="G4">
        <v>0</v>
      </c>
      <c r="H4">
        <v>0</v>
      </c>
      <c r="I4">
        <v>20.190000000000001</v>
      </c>
      <c r="J4">
        <v>20.440000000000001</v>
      </c>
      <c r="K4">
        <v>23.51</v>
      </c>
      <c r="L4">
        <v>30.26</v>
      </c>
      <c r="M4">
        <v>37.619999999999997</v>
      </c>
      <c r="N4">
        <v>38.22</v>
      </c>
      <c r="O4">
        <v>43</v>
      </c>
      <c r="P4">
        <v>41.91</v>
      </c>
      <c r="Q4">
        <v>41.91</v>
      </c>
      <c r="R4">
        <v>0</v>
      </c>
      <c r="S4">
        <v>0</v>
      </c>
    </row>
    <row r="5" spans="1:19" x14ac:dyDescent="0.35">
      <c r="B5" t="s">
        <v>2</v>
      </c>
      <c r="C5">
        <v>0.13089999999999999</v>
      </c>
      <c r="D5">
        <v>0.13439999999999999</v>
      </c>
      <c r="E5">
        <v>8.4900000000000003E-2</v>
      </c>
      <c r="F5">
        <v>6.4899999999999999E-2</v>
      </c>
      <c r="G5">
        <v>0.14760000000000001</v>
      </c>
      <c r="H5">
        <v>0.14910000000000001</v>
      </c>
      <c r="I5">
        <v>0.21629999999999999</v>
      </c>
      <c r="J5">
        <v>0.2225</v>
      </c>
      <c r="K5">
        <v>0.19389999999999999</v>
      </c>
      <c r="L5">
        <v>0.1497</v>
      </c>
      <c r="M5">
        <v>0.1123</v>
      </c>
      <c r="N5">
        <v>0.1096</v>
      </c>
      <c r="O5">
        <v>8.4599999999999995E-2</v>
      </c>
      <c r="P5">
        <v>7.6700000000000004E-2</v>
      </c>
      <c r="Q5">
        <v>7.6700000000000004E-2</v>
      </c>
      <c r="R5">
        <v>0.2046</v>
      </c>
      <c r="S5">
        <v>0.19500000000000001</v>
      </c>
    </row>
    <row r="6" spans="1:19" x14ac:dyDescent="0.35">
      <c r="B6" t="s">
        <v>3</v>
      </c>
      <c r="C6">
        <v>116.1</v>
      </c>
      <c r="D6">
        <v>114.4</v>
      </c>
      <c r="E6">
        <v>95.1</v>
      </c>
      <c r="F6">
        <v>87.9</v>
      </c>
      <c r="G6">
        <v>122.5</v>
      </c>
      <c r="H6">
        <v>132.69999999999999</v>
      </c>
      <c r="I6">
        <v>122.6</v>
      </c>
      <c r="J6">
        <v>123.6</v>
      </c>
      <c r="K6">
        <v>119.2</v>
      </c>
      <c r="L6">
        <v>111.3</v>
      </c>
      <c r="M6">
        <v>102.9</v>
      </c>
      <c r="N6">
        <v>102.2</v>
      </c>
      <c r="O6">
        <v>95</v>
      </c>
      <c r="P6">
        <v>92.4</v>
      </c>
      <c r="Q6">
        <v>92.4</v>
      </c>
      <c r="R6">
        <v>120.9</v>
      </c>
      <c r="S6">
        <v>121.8</v>
      </c>
    </row>
    <row r="7" spans="1:19" x14ac:dyDescent="0.35">
      <c r="A7">
        <v>14</v>
      </c>
      <c r="B7" t="s">
        <v>4</v>
      </c>
    </row>
    <row r="8" spans="1:19" x14ac:dyDescent="0.35">
      <c r="B8" t="s">
        <v>1</v>
      </c>
      <c r="C8">
        <v>30.28</v>
      </c>
      <c r="D8">
        <v>32.83</v>
      </c>
      <c r="E8">
        <v>25.9</v>
      </c>
      <c r="F8">
        <v>20.86</v>
      </c>
      <c r="G8">
        <v>45.45</v>
      </c>
      <c r="H8">
        <v>44.72</v>
      </c>
      <c r="I8">
        <v>51.91</v>
      </c>
      <c r="J8">
        <v>53.34</v>
      </c>
      <c r="K8">
        <v>51.53</v>
      </c>
      <c r="L8">
        <v>46.24</v>
      </c>
      <c r="M8">
        <v>37.96</v>
      </c>
      <c r="N8">
        <v>37.270000000000003</v>
      </c>
      <c r="O8">
        <v>29.59</v>
      </c>
      <c r="P8">
        <v>25.67</v>
      </c>
      <c r="Q8">
        <v>26.51</v>
      </c>
      <c r="R8">
        <v>47.22</v>
      </c>
      <c r="S8">
        <v>46.75</v>
      </c>
    </row>
    <row r="9" spans="1:19" x14ac:dyDescent="0.35">
      <c r="B9" t="s">
        <v>2</v>
      </c>
      <c r="C9">
        <v>9.6299999999999997E-2</v>
      </c>
      <c r="D9">
        <v>9.5200000000000007E-2</v>
      </c>
      <c r="E9">
        <v>4.3900000000000002E-2</v>
      </c>
      <c r="F9">
        <v>3.0300000000000001E-2</v>
      </c>
      <c r="G9">
        <v>4.6199999999999998E-2</v>
      </c>
      <c r="H9">
        <v>5.7799999999999997E-2</v>
      </c>
      <c r="I9">
        <v>0.1608</v>
      </c>
      <c r="J9">
        <v>0.16569999999999999</v>
      </c>
      <c r="K9">
        <v>0.13389999999999999</v>
      </c>
      <c r="L9">
        <v>8.6199999999999999E-2</v>
      </c>
      <c r="M9">
        <v>5.1499999999999997E-2</v>
      </c>
      <c r="N9">
        <v>4.9099999999999998E-2</v>
      </c>
      <c r="O9">
        <v>3.1199999999999999E-2</v>
      </c>
      <c r="P9">
        <v>2.7900000000000001E-2</v>
      </c>
      <c r="Q9">
        <v>2.7900000000000001E-2</v>
      </c>
      <c r="R9">
        <v>5.0799999999999998E-2</v>
      </c>
      <c r="S9">
        <v>5.0900000000000001E-2</v>
      </c>
    </row>
    <row r="10" spans="1:19" x14ac:dyDescent="0.35">
      <c r="B10" t="s">
        <v>3</v>
      </c>
      <c r="C10">
        <v>98.6</v>
      </c>
      <c r="D10">
        <v>98.2</v>
      </c>
      <c r="E10">
        <v>78.099999999999994</v>
      </c>
      <c r="F10">
        <v>69.3</v>
      </c>
      <c r="G10">
        <v>79.400000000000006</v>
      </c>
      <c r="H10">
        <v>84.9</v>
      </c>
      <c r="I10">
        <v>113.4</v>
      </c>
      <c r="J10">
        <v>114.4</v>
      </c>
      <c r="K10">
        <v>108</v>
      </c>
      <c r="L10">
        <v>95.5</v>
      </c>
      <c r="M10">
        <v>82</v>
      </c>
      <c r="N10">
        <v>80.900000000000006</v>
      </c>
      <c r="O10">
        <v>69.900000000000006</v>
      </c>
      <c r="P10">
        <v>67.37</v>
      </c>
      <c r="Q10">
        <v>67.37</v>
      </c>
      <c r="R10">
        <v>81.72</v>
      </c>
      <c r="S10">
        <v>81.73</v>
      </c>
    </row>
    <row r="11" spans="1:19" x14ac:dyDescent="0.35">
      <c r="B11" t="s">
        <v>10</v>
      </c>
      <c r="C11">
        <v>833.3</v>
      </c>
      <c r="D11">
        <v>833.3</v>
      </c>
      <c r="E11">
        <v>833.3</v>
      </c>
      <c r="F11">
        <v>833.3</v>
      </c>
      <c r="G11">
        <v>833.3</v>
      </c>
      <c r="H11">
        <v>833.3</v>
      </c>
      <c r="I11">
        <v>833.3</v>
      </c>
      <c r="J11">
        <v>833.3</v>
      </c>
      <c r="K11">
        <v>833.3</v>
      </c>
      <c r="L11">
        <v>833.3</v>
      </c>
      <c r="M11">
        <v>833.3</v>
      </c>
      <c r="N11">
        <v>833.3</v>
      </c>
      <c r="O11">
        <v>833.3</v>
      </c>
      <c r="P11">
        <v>833.3</v>
      </c>
      <c r="Q11">
        <v>833.3</v>
      </c>
      <c r="R11">
        <v>833.3</v>
      </c>
      <c r="S11">
        <v>833.3</v>
      </c>
    </row>
    <row r="12" spans="1:19" x14ac:dyDescent="0.35">
      <c r="B12" t="s">
        <v>11</v>
      </c>
      <c r="C12">
        <v>112.9</v>
      </c>
      <c r="D12">
        <v>114</v>
      </c>
      <c r="E12">
        <v>114.7</v>
      </c>
      <c r="F12">
        <v>116.8</v>
      </c>
      <c r="G12">
        <v>118.3</v>
      </c>
      <c r="H12">
        <v>116.8</v>
      </c>
      <c r="I12">
        <v>112.8</v>
      </c>
      <c r="J12">
        <v>113.4</v>
      </c>
      <c r="K12">
        <v>113.3</v>
      </c>
      <c r="L12">
        <v>113</v>
      </c>
      <c r="M12">
        <v>115.4</v>
      </c>
      <c r="N12">
        <v>115.4</v>
      </c>
      <c r="O12">
        <v>117.3</v>
      </c>
      <c r="P12">
        <v>117.6</v>
      </c>
      <c r="Q12">
        <v>423.4</v>
      </c>
      <c r="R12">
        <v>117.7</v>
      </c>
      <c r="S12">
        <v>117.5</v>
      </c>
    </row>
    <row r="13" spans="1:19" x14ac:dyDescent="0.35">
      <c r="B13" t="s">
        <v>12</v>
      </c>
      <c r="C13">
        <v>49.2</v>
      </c>
      <c r="D13">
        <v>41.7</v>
      </c>
      <c r="E13">
        <v>36.700000000000003</v>
      </c>
      <c r="F13">
        <v>22.5</v>
      </c>
      <c r="G13">
        <v>11.7</v>
      </c>
      <c r="H13">
        <v>22.5</v>
      </c>
      <c r="I13">
        <v>50</v>
      </c>
      <c r="J13">
        <v>45.8</v>
      </c>
      <c r="K13">
        <v>52.5</v>
      </c>
      <c r="L13">
        <v>48.3</v>
      </c>
      <c r="M13">
        <v>31.7</v>
      </c>
      <c r="N13">
        <v>31.7</v>
      </c>
      <c r="O13">
        <v>19.2</v>
      </c>
      <c r="P13">
        <v>16.7</v>
      </c>
      <c r="Q13">
        <v>60</v>
      </c>
      <c r="R13">
        <v>15.8</v>
      </c>
      <c r="S13">
        <v>17.5</v>
      </c>
    </row>
    <row r="14" spans="1:19" x14ac:dyDescent="0.35">
      <c r="B14" t="s">
        <v>13</v>
      </c>
      <c r="C14">
        <v>103.2</v>
      </c>
      <c r="D14">
        <v>104.1</v>
      </c>
      <c r="E14">
        <v>89.4</v>
      </c>
      <c r="F14">
        <v>81.8</v>
      </c>
      <c r="G14">
        <v>72</v>
      </c>
      <c r="H14">
        <v>72</v>
      </c>
      <c r="I14">
        <v>120.5</v>
      </c>
      <c r="J14">
        <v>121.5</v>
      </c>
      <c r="K14">
        <v>116.5</v>
      </c>
      <c r="L14">
        <v>107.5</v>
      </c>
      <c r="M14">
        <v>99.4</v>
      </c>
      <c r="N14">
        <v>98.6</v>
      </c>
      <c r="O14">
        <v>90.9</v>
      </c>
      <c r="P14">
        <v>88</v>
      </c>
      <c r="Q14">
        <v>88</v>
      </c>
      <c r="R14">
        <v>73.400000000000006</v>
      </c>
      <c r="S14">
        <v>73.400000000000006</v>
      </c>
    </row>
    <row r="15" spans="1:19" x14ac:dyDescent="0.35">
      <c r="B15" t="s">
        <v>14</v>
      </c>
      <c r="C15">
        <v>69</v>
      </c>
      <c r="D15">
        <v>69</v>
      </c>
      <c r="E15">
        <v>53.1</v>
      </c>
      <c r="F15">
        <v>46</v>
      </c>
      <c r="G15">
        <v>40</v>
      </c>
      <c r="H15">
        <v>40</v>
      </c>
      <c r="I15">
        <v>69</v>
      </c>
      <c r="J15">
        <v>69</v>
      </c>
      <c r="K15">
        <v>63</v>
      </c>
      <c r="L15">
        <v>53.1</v>
      </c>
      <c r="M15">
        <v>46</v>
      </c>
      <c r="N15">
        <v>45.4</v>
      </c>
      <c r="O15">
        <v>40</v>
      </c>
      <c r="P15">
        <v>40</v>
      </c>
      <c r="Q15">
        <v>40</v>
      </c>
      <c r="R15">
        <v>40</v>
      </c>
      <c r="S15">
        <v>40</v>
      </c>
    </row>
    <row r="16" spans="1:19" x14ac:dyDescent="0.35">
      <c r="A16">
        <v>37</v>
      </c>
      <c r="B16" t="s">
        <v>15</v>
      </c>
      <c r="C16">
        <v>68.989999999999995</v>
      </c>
      <c r="D16">
        <v>74.42</v>
      </c>
      <c r="E16">
        <v>59.51</v>
      </c>
      <c r="F16">
        <v>48.88</v>
      </c>
      <c r="G16">
        <v>101.8</v>
      </c>
      <c r="H16">
        <v>101.58</v>
      </c>
      <c r="I16">
        <v>114.51</v>
      </c>
      <c r="J16">
        <v>117.52</v>
      </c>
      <c r="K16">
        <v>113.73</v>
      </c>
      <c r="L16">
        <v>102.51</v>
      </c>
      <c r="M16">
        <v>85.72</v>
      </c>
      <c r="N16">
        <v>84.34</v>
      </c>
      <c r="O16">
        <v>68.78</v>
      </c>
      <c r="P16">
        <v>62.35</v>
      </c>
      <c r="Q16">
        <v>62.35</v>
      </c>
      <c r="R16">
        <v>102.85</v>
      </c>
      <c r="S16">
        <v>102.67</v>
      </c>
    </row>
    <row r="17" spans="1:19" x14ac:dyDescent="0.35">
      <c r="B17" t="s">
        <v>16</v>
      </c>
      <c r="C17">
        <v>59.33</v>
      </c>
      <c r="D17">
        <v>64</v>
      </c>
      <c r="E17">
        <v>51.18</v>
      </c>
      <c r="F17">
        <v>42.04</v>
      </c>
      <c r="G17">
        <v>87.55</v>
      </c>
      <c r="H17">
        <v>87.36</v>
      </c>
      <c r="I17">
        <v>98.48</v>
      </c>
      <c r="J17">
        <v>101.07</v>
      </c>
      <c r="K17">
        <v>97.81</v>
      </c>
      <c r="L17">
        <v>88.16</v>
      </c>
      <c r="M17">
        <v>73.72</v>
      </c>
      <c r="N17">
        <v>72.53</v>
      </c>
      <c r="O17">
        <v>59.15</v>
      </c>
      <c r="P17">
        <v>53.62</v>
      </c>
      <c r="Q17">
        <v>53.62</v>
      </c>
      <c r="R17">
        <v>88.45</v>
      </c>
      <c r="S17">
        <v>88.3</v>
      </c>
    </row>
    <row r="18" spans="1:19" x14ac:dyDescent="0.35">
      <c r="A18">
        <v>38</v>
      </c>
      <c r="B18" t="s">
        <v>17</v>
      </c>
      <c r="C18">
        <v>39.729999999999997</v>
      </c>
      <c r="D18">
        <v>36.479999999999997</v>
      </c>
      <c r="E18">
        <v>55.99</v>
      </c>
      <c r="F18">
        <v>66.97</v>
      </c>
      <c r="G18">
        <v>0</v>
      </c>
      <c r="H18">
        <v>0</v>
      </c>
      <c r="I18">
        <v>44.19</v>
      </c>
      <c r="J18">
        <v>44.67</v>
      </c>
      <c r="K18">
        <v>51.35</v>
      </c>
      <c r="L18">
        <v>65.97</v>
      </c>
      <c r="M18">
        <v>82.1</v>
      </c>
      <c r="N18">
        <v>83.41</v>
      </c>
      <c r="O18">
        <v>94.13</v>
      </c>
      <c r="P18">
        <v>92.45</v>
      </c>
      <c r="Q18">
        <v>92.45</v>
      </c>
      <c r="R18">
        <v>0</v>
      </c>
      <c r="S18">
        <v>0</v>
      </c>
    </row>
    <row r="19" spans="1:19" x14ac:dyDescent="0.35">
      <c r="B19" t="s">
        <v>16</v>
      </c>
      <c r="C19">
        <v>34.17</v>
      </c>
      <c r="D19">
        <v>31.37</v>
      </c>
      <c r="E19">
        <v>48.15</v>
      </c>
      <c r="F19">
        <v>57.59</v>
      </c>
      <c r="G19">
        <v>0</v>
      </c>
      <c r="H19">
        <v>0</v>
      </c>
      <c r="I19">
        <v>38</v>
      </c>
      <c r="J19">
        <v>38.42</v>
      </c>
      <c r="K19">
        <v>44.16</v>
      </c>
      <c r="L19">
        <v>56.73</v>
      </c>
      <c r="M19">
        <v>70.61</v>
      </c>
      <c r="N19">
        <v>71.73</v>
      </c>
      <c r="O19">
        <v>80.95</v>
      </c>
      <c r="P19">
        <v>79.510000000000005</v>
      </c>
      <c r="Q19">
        <v>79.510000000000005</v>
      </c>
      <c r="R19">
        <v>0</v>
      </c>
      <c r="S19">
        <v>0</v>
      </c>
    </row>
    <row r="20" spans="1:19" x14ac:dyDescent="0.35">
      <c r="A20">
        <v>39</v>
      </c>
      <c r="B20" t="s">
        <v>18</v>
      </c>
      <c r="C20">
        <v>3.23</v>
      </c>
      <c r="D20">
        <v>4.87</v>
      </c>
      <c r="E20">
        <v>4.1399999999999997</v>
      </c>
      <c r="F20">
        <v>2.6</v>
      </c>
      <c r="G20">
        <v>5.33</v>
      </c>
      <c r="H20">
        <v>4.4800000000000004</v>
      </c>
      <c r="I20">
        <v>9.57</v>
      </c>
      <c r="J20">
        <v>9.92</v>
      </c>
      <c r="K20">
        <v>9.8000000000000007</v>
      </c>
      <c r="L20">
        <v>9.31</v>
      </c>
      <c r="M20">
        <v>7.92</v>
      </c>
      <c r="N20">
        <v>7.5</v>
      </c>
      <c r="O20">
        <v>6.07</v>
      </c>
      <c r="P20">
        <v>5.35</v>
      </c>
      <c r="Q20">
        <v>5.35</v>
      </c>
      <c r="R20">
        <v>6.48</v>
      </c>
      <c r="S20">
        <v>6.43</v>
      </c>
    </row>
    <row r="21" spans="1:19" x14ac:dyDescent="0.35">
      <c r="B21" t="s">
        <v>16</v>
      </c>
      <c r="C21">
        <v>2.78</v>
      </c>
      <c r="D21">
        <v>4.1900000000000004</v>
      </c>
      <c r="E21">
        <v>3.56</v>
      </c>
      <c r="F21">
        <v>2.2400000000000002</v>
      </c>
      <c r="G21">
        <v>4.58</v>
      </c>
      <c r="H21">
        <v>3.85</v>
      </c>
      <c r="I21">
        <v>8.23</v>
      </c>
      <c r="J21">
        <v>8.5299999999999994</v>
      </c>
      <c r="K21">
        <v>8.43</v>
      </c>
      <c r="L21">
        <v>8.01</v>
      </c>
      <c r="M21">
        <v>6.81</v>
      </c>
      <c r="N21">
        <v>6.43</v>
      </c>
      <c r="O21">
        <v>5.22</v>
      </c>
      <c r="P21">
        <v>4.5999999999999996</v>
      </c>
      <c r="Q21">
        <v>4.5999999999999996</v>
      </c>
      <c r="R21">
        <v>5.57</v>
      </c>
      <c r="S21">
        <v>5.53</v>
      </c>
    </row>
    <row r="23" spans="1:19" x14ac:dyDescent="0.35">
      <c r="C23">
        <f>C31-C10</f>
        <v>-4.456596037218219E-2</v>
      </c>
      <c r="D23">
        <f t="shared" ref="D23:S23" si="0">D31-D10</f>
        <v>3.6677426674700087E-2</v>
      </c>
      <c r="E23">
        <f t="shared" si="0"/>
        <v>9.6953343566781314E-3</v>
      </c>
      <c r="F23">
        <f t="shared" si="0"/>
        <v>2.4037222135532943E-2</v>
      </c>
      <c r="G23">
        <f t="shared" si="0"/>
        <v>-3.9494199433448784E-2</v>
      </c>
      <c r="H23">
        <f t="shared" si="0"/>
        <v>7.0466623497196679E-2</v>
      </c>
      <c r="I23">
        <f t="shared" si="0"/>
        <v>4.8856559514973696E-2</v>
      </c>
      <c r="J23">
        <f t="shared" si="0"/>
        <v>-3.6580791298121085E-2</v>
      </c>
      <c r="K23">
        <f t="shared" si="0"/>
        <v>-2.3825973911755227E-2</v>
      </c>
      <c r="L23">
        <f t="shared" si="0"/>
        <v>7.1038220304444621E-3</v>
      </c>
      <c r="M23">
        <f t="shared" si="0"/>
        <v>5.4915418976179353E-2</v>
      </c>
      <c r="N23">
        <f t="shared" si="0"/>
        <v>-3.4882223090193065E-2</v>
      </c>
      <c r="O23">
        <f t="shared" si="0"/>
        <v>9.9310765225055775E-2</v>
      </c>
      <c r="P23">
        <f t="shared" si="0"/>
        <v>6.6548246113654841E-2</v>
      </c>
      <c r="Q23">
        <f t="shared" si="0"/>
        <v>6.6548246113654841E-2</v>
      </c>
      <c r="R23">
        <f t="shared" si="0"/>
        <v>-7.2197796317539087E-3</v>
      </c>
      <c r="S23">
        <f t="shared" si="0"/>
        <v>3.189778003651611E-2</v>
      </c>
    </row>
    <row r="25" spans="1:19" x14ac:dyDescent="0.35">
      <c r="A25" t="s">
        <v>45</v>
      </c>
      <c r="B25" t="s">
        <v>34</v>
      </c>
      <c r="C25">
        <f>C11-C13</f>
        <v>784.09999999999991</v>
      </c>
      <c r="D25">
        <f t="shared" ref="D25:S25" si="1">D11-D13</f>
        <v>791.59999999999991</v>
      </c>
      <c r="E25">
        <f t="shared" si="1"/>
        <v>796.59999999999991</v>
      </c>
      <c r="F25">
        <f t="shared" si="1"/>
        <v>810.8</v>
      </c>
      <c r="G25">
        <f t="shared" si="1"/>
        <v>821.59999999999991</v>
      </c>
      <c r="H25">
        <f t="shared" si="1"/>
        <v>810.8</v>
      </c>
      <c r="I25">
        <f t="shared" si="1"/>
        <v>783.3</v>
      </c>
      <c r="J25">
        <f t="shared" si="1"/>
        <v>787.5</v>
      </c>
      <c r="K25">
        <f t="shared" si="1"/>
        <v>780.8</v>
      </c>
      <c r="L25">
        <f t="shared" si="1"/>
        <v>785</v>
      </c>
      <c r="M25">
        <f t="shared" si="1"/>
        <v>801.59999999999991</v>
      </c>
      <c r="N25">
        <f t="shared" si="1"/>
        <v>801.59999999999991</v>
      </c>
      <c r="O25">
        <f t="shared" si="1"/>
        <v>814.09999999999991</v>
      </c>
      <c r="P25">
        <f t="shared" si="1"/>
        <v>816.59999999999991</v>
      </c>
      <c r="Q25">
        <f t="shared" si="1"/>
        <v>773.3</v>
      </c>
      <c r="R25">
        <f t="shared" si="1"/>
        <v>817.5</v>
      </c>
      <c r="S25">
        <f t="shared" si="1"/>
        <v>815.8</v>
      </c>
    </row>
    <row r="26" spans="1:19" x14ac:dyDescent="0.35">
      <c r="A26" t="s">
        <v>46</v>
      </c>
      <c r="B26" t="s">
        <v>35</v>
      </c>
      <c r="C26">
        <f>C14</f>
        <v>103.2</v>
      </c>
      <c r="D26">
        <f t="shared" ref="D26:S26" si="2">D14</f>
        <v>104.1</v>
      </c>
      <c r="E26">
        <f t="shared" si="2"/>
        <v>89.4</v>
      </c>
      <c r="F26">
        <f t="shared" si="2"/>
        <v>81.8</v>
      </c>
      <c r="G26">
        <f t="shared" si="2"/>
        <v>72</v>
      </c>
      <c r="H26">
        <f t="shared" si="2"/>
        <v>72</v>
      </c>
      <c r="I26">
        <f t="shared" si="2"/>
        <v>120.5</v>
      </c>
      <c r="J26">
        <f t="shared" si="2"/>
        <v>121.5</v>
      </c>
      <c r="K26">
        <f t="shared" si="2"/>
        <v>116.5</v>
      </c>
      <c r="L26">
        <f t="shared" si="2"/>
        <v>107.5</v>
      </c>
      <c r="M26">
        <f t="shared" si="2"/>
        <v>99.4</v>
      </c>
      <c r="N26">
        <f t="shared" si="2"/>
        <v>98.6</v>
      </c>
      <c r="O26">
        <f t="shared" si="2"/>
        <v>90.9</v>
      </c>
      <c r="P26">
        <f t="shared" si="2"/>
        <v>88</v>
      </c>
      <c r="Q26">
        <f t="shared" si="2"/>
        <v>88</v>
      </c>
      <c r="R26">
        <f t="shared" si="2"/>
        <v>73.400000000000006</v>
      </c>
      <c r="S26">
        <f t="shared" si="2"/>
        <v>73.400000000000006</v>
      </c>
    </row>
    <row r="27" spans="1:19" x14ac:dyDescent="0.35">
      <c r="A27" t="s">
        <v>45</v>
      </c>
      <c r="B27" t="s">
        <v>36</v>
      </c>
      <c r="C27">
        <f>C15</f>
        <v>69</v>
      </c>
      <c r="D27">
        <f t="shared" ref="D27:S27" si="3">D15</f>
        <v>69</v>
      </c>
      <c r="E27">
        <f t="shared" si="3"/>
        <v>53.1</v>
      </c>
      <c r="F27">
        <f t="shared" si="3"/>
        <v>46</v>
      </c>
      <c r="G27">
        <f t="shared" si="3"/>
        <v>40</v>
      </c>
      <c r="H27">
        <f t="shared" si="3"/>
        <v>40</v>
      </c>
      <c r="I27">
        <f t="shared" si="3"/>
        <v>69</v>
      </c>
      <c r="J27">
        <f t="shared" si="3"/>
        <v>69</v>
      </c>
      <c r="K27">
        <f t="shared" si="3"/>
        <v>63</v>
      </c>
      <c r="L27">
        <f t="shared" si="3"/>
        <v>53.1</v>
      </c>
      <c r="M27">
        <f t="shared" si="3"/>
        <v>46</v>
      </c>
      <c r="N27">
        <f t="shared" si="3"/>
        <v>45.4</v>
      </c>
      <c r="O27">
        <f t="shared" si="3"/>
        <v>40</v>
      </c>
      <c r="P27">
        <f t="shared" si="3"/>
        <v>40</v>
      </c>
      <c r="Q27">
        <f t="shared" si="3"/>
        <v>40</v>
      </c>
      <c r="R27">
        <f t="shared" si="3"/>
        <v>40</v>
      </c>
      <c r="S27">
        <f t="shared" si="3"/>
        <v>40</v>
      </c>
    </row>
    <row r="28" spans="1:19" x14ac:dyDescent="0.35">
      <c r="A28" t="s">
        <v>47</v>
      </c>
      <c r="B28" t="s">
        <v>37</v>
      </c>
      <c r="C28">
        <f>C5</f>
        <v>0.13089999999999999</v>
      </c>
      <c r="D28">
        <f t="shared" ref="D28:S28" si="4">D5</f>
        <v>0.13439999999999999</v>
      </c>
      <c r="E28">
        <f t="shared" si="4"/>
        <v>8.4900000000000003E-2</v>
      </c>
      <c r="F28">
        <f t="shared" si="4"/>
        <v>6.4899999999999999E-2</v>
      </c>
      <c r="G28">
        <f t="shared" si="4"/>
        <v>0.14760000000000001</v>
      </c>
      <c r="H28">
        <f t="shared" si="4"/>
        <v>0.14910000000000001</v>
      </c>
      <c r="I28">
        <f t="shared" si="4"/>
        <v>0.21629999999999999</v>
      </c>
      <c r="J28">
        <f t="shared" si="4"/>
        <v>0.2225</v>
      </c>
      <c r="K28">
        <f t="shared" si="4"/>
        <v>0.19389999999999999</v>
      </c>
      <c r="L28">
        <f t="shared" si="4"/>
        <v>0.1497</v>
      </c>
      <c r="M28">
        <f t="shared" si="4"/>
        <v>0.1123</v>
      </c>
      <c r="N28">
        <f t="shared" si="4"/>
        <v>0.1096</v>
      </c>
      <c r="O28">
        <f t="shared" si="4"/>
        <v>8.4599999999999995E-2</v>
      </c>
      <c r="P28">
        <f t="shared" si="4"/>
        <v>7.6700000000000004E-2</v>
      </c>
      <c r="Q28">
        <f t="shared" si="4"/>
        <v>7.6700000000000004E-2</v>
      </c>
      <c r="R28">
        <f t="shared" si="4"/>
        <v>0.2046</v>
      </c>
      <c r="S28">
        <f t="shared" si="4"/>
        <v>0.19500000000000001</v>
      </c>
    </row>
    <row r="29" spans="1:19" x14ac:dyDescent="0.35">
      <c r="A29" t="s">
        <v>47</v>
      </c>
      <c r="B29" t="s">
        <v>41</v>
      </c>
      <c r="C29">
        <f>[1]!PropsSI("H","T",C6+273.15,"P",C5*10^6,"Water")/1000</f>
        <v>2705.3348951298976</v>
      </c>
      <c r="D29">
        <f>[1]!PropsSI("H","T",D6+273.15,"P",D5*10^6,"Water")/1000</f>
        <v>2701.4004688682144</v>
      </c>
      <c r="E29">
        <f>[1]!PropsSI("H","T",E6+273.15,"P",E5*10^6,"Water")/1000</f>
        <v>2667.7771359671365</v>
      </c>
      <c r="F29">
        <f>[1]!PropsSI("H","T",F6+273.15,"P",F5*10^6,"Water")/1000</f>
        <v>368.20624238163742</v>
      </c>
      <c r="G29">
        <f>[1]!PropsSI("H","T",G6+273.15,"P",G5*10^6,"Water")/1000</f>
        <v>2716.8167959831671</v>
      </c>
      <c r="H29">
        <f>[1]!PropsSI("H","T",H6+273.15,"P",H5*10^6,"Water")/1000</f>
        <v>2737.7318623277183</v>
      </c>
      <c r="I29">
        <f>[1]!PropsSI("H","Q",1,"P",I5*10^6,"Water")/1000</f>
        <v>2709.8279245900353</v>
      </c>
      <c r="J29">
        <f>[1]!PropsSI("H","T",J6+273.15,"P",J5*10^6,"Water")/1000</f>
        <v>519.11589906757479</v>
      </c>
      <c r="K29">
        <f>[1]!PropsSI("H","T",K6+273.15,"P",K5*10^6,"Water")/1000</f>
        <v>500.41405046412683</v>
      </c>
      <c r="L29">
        <f>[1]!PropsSI("H","T",L6+273.15,"P",L5*10^6,"Water")/1000</f>
        <v>2693.0375190730406</v>
      </c>
      <c r="M29">
        <f>[1]!PropsSI("H","T",M6+273.15,"P",M5*10^6,"Water")/1000</f>
        <v>2680.1322031262462</v>
      </c>
      <c r="N29">
        <f>[1]!PropsSI("H","T",N6+273.15,"P",N5*10^6,"Water")/1000</f>
        <v>2679.0336654104358</v>
      </c>
      <c r="O29">
        <f>[1]!PropsSI("H","T",O6+273.15,"P",O5*10^6,"Water")/1000</f>
        <v>2667.6149914999824</v>
      </c>
      <c r="P29">
        <f>[1]!PropsSI("H","T",P6+273.15,"P",P5*10^6,"Water")/1000</f>
        <v>2663.4446956949355</v>
      </c>
      <c r="Q29">
        <f>[1]!PropsSI("H","T",Q6+273.15,"P",Q5*10^6,"Water")/1000</f>
        <v>2663.4446956949355</v>
      </c>
      <c r="R29">
        <f>[1]!PropsSI("H","T",R6+273.15,"P",R5*10^6,"Water")/1000</f>
        <v>507.63568269202972</v>
      </c>
      <c r="S29">
        <f>[1]!PropsSI("H","T",S6+273.15,"P",S5*10^6,"Water")/1000</f>
        <v>2710.2420153440662</v>
      </c>
    </row>
    <row r="30" spans="1:19" x14ac:dyDescent="0.35">
      <c r="A30" t="s">
        <v>48</v>
      </c>
      <c r="B30" t="s">
        <v>38</v>
      </c>
      <c r="C30">
        <f>C9</f>
        <v>9.6299999999999997E-2</v>
      </c>
      <c r="D30">
        <f t="shared" ref="D30:S30" si="5">D9</f>
        <v>9.5200000000000007E-2</v>
      </c>
      <c r="E30">
        <f t="shared" si="5"/>
        <v>4.3900000000000002E-2</v>
      </c>
      <c r="F30">
        <f t="shared" si="5"/>
        <v>3.0300000000000001E-2</v>
      </c>
      <c r="G30">
        <f t="shared" si="5"/>
        <v>4.6199999999999998E-2</v>
      </c>
      <c r="H30">
        <f t="shared" si="5"/>
        <v>5.7799999999999997E-2</v>
      </c>
      <c r="I30">
        <f t="shared" si="5"/>
        <v>0.1608</v>
      </c>
      <c r="J30">
        <f t="shared" si="5"/>
        <v>0.16569999999999999</v>
      </c>
      <c r="K30">
        <f t="shared" si="5"/>
        <v>0.13389999999999999</v>
      </c>
      <c r="L30">
        <f t="shared" si="5"/>
        <v>8.6199999999999999E-2</v>
      </c>
      <c r="M30">
        <f t="shared" si="5"/>
        <v>5.1499999999999997E-2</v>
      </c>
      <c r="N30">
        <f t="shared" si="5"/>
        <v>4.9099999999999998E-2</v>
      </c>
      <c r="O30">
        <f t="shared" si="5"/>
        <v>3.1199999999999999E-2</v>
      </c>
      <c r="P30">
        <f t="shared" si="5"/>
        <v>2.7900000000000001E-2</v>
      </c>
      <c r="Q30">
        <f t="shared" si="5"/>
        <v>2.7900000000000001E-2</v>
      </c>
      <c r="R30">
        <f t="shared" si="5"/>
        <v>5.0799999999999998E-2</v>
      </c>
      <c r="S30">
        <f t="shared" si="5"/>
        <v>5.0900000000000001E-2</v>
      </c>
    </row>
    <row r="31" spans="1:19" x14ac:dyDescent="0.35">
      <c r="A31" t="s">
        <v>48</v>
      </c>
      <c r="B31" t="s">
        <v>44</v>
      </c>
      <c r="C31">
        <f>[1]!PropsSI("T","Q",0,"P",C9*10^6,"Water")-273.15</f>
        <v>98.555434039627812</v>
      </c>
      <c r="D31">
        <f>[1]!PropsSI("T","Q",0,"P",D9*10^6,"Water")-273.15</f>
        <v>98.236677426674703</v>
      </c>
      <c r="E31">
        <f>[1]!PropsSI("T","Q",0,"P",E9*10^6,"Water")-273.15</f>
        <v>78.109695334356672</v>
      </c>
      <c r="F31">
        <f>[1]!PropsSI("T","Q",0,"P",F9*10^6,"Water")-273.15</f>
        <v>69.32403722213553</v>
      </c>
      <c r="G31">
        <f>[1]!PropsSI("T","Q",0,"P",G9*10^6,"Water")-273.15</f>
        <v>79.360505800566557</v>
      </c>
      <c r="H31">
        <f>[1]!PropsSI("T","Q",0,"P",H9*10^6,"Water")-273.15</f>
        <v>84.970466623497202</v>
      </c>
      <c r="I31">
        <f>[1]!PropsSI("T","Q",0,"P",I9*10^6,"Water")-273.15</f>
        <v>113.44885655951498</v>
      </c>
      <c r="J31">
        <f>[1]!PropsSI("T","Q",0,"P",J9*10^6,"Water")-273.15</f>
        <v>114.36341920870188</v>
      </c>
      <c r="K31">
        <f>[1]!PropsSI("T","Q",0,"P",K9*10^6,"Water")-273.15</f>
        <v>107.97617402608824</v>
      </c>
      <c r="L31">
        <f>[1]!PropsSI("T","Q",0,"P",L9*10^6,"Water")-273.15</f>
        <v>95.507103822030444</v>
      </c>
      <c r="M31">
        <f>[1]!PropsSI("T","Q",0,"P",M9*10^6,"Water")-273.15</f>
        <v>82.054915418976179</v>
      </c>
      <c r="N31">
        <f>[1]!PropsSI("T","Q",0,"P",N9*10^6,"Water")-273.15</f>
        <v>80.865117776909813</v>
      </c>
      <c r="O31">
        <f>[1]!PropsSI("T","Q",0,"P",O9*10^6,"Water")-273.15</f>
        <v>69.999310765225061</v>
      </c>
      <c r="P31">
        <f>[1]!PropsSI("T","Q",0,"P",P9*10^6,"Water")-273.15</f>
        <v>67.436548246113659</v>
      </c>
      <c r="Q31">
        <f>[1]!PropsSI("T","Q",0,"P",Q9*10^6,"Water")-273.15</f>
        <v>67.436548246113659</v>
      </c>
      <c r="R31">
        <f>[1]!PropsSI("T","Q",0,"P",R9*10^6,"Water")-273.15</f>
        <v>81.712780220368245</v>
      </c>
      <c r="S31">
        <f>[1]!PropsSI("T","Q",0,"P",S9*10^6,"Water")-273.15</f>
        <v>81.76189778003652</v>
      </c>
    </row>
    <row r="32" spans="1:19" x14ac:dyDescent="0.35">
      <c r="A32" t="s">
        <v>48</v>
      </c>
      <c r="B32" t="s">
        <v>42</v>
      </c>
      <c r="C32">
        <f>[1]!PropsSI("H","Q",1,"P",C9*10^6,"Water")/1000</f>
        <v>2673.2849068883279</v>
      </c>
      <c r="D32">
        <f>[1]!PropsSI("H","Q",1,"P",D9*10^6,"Water")/1000</f>
        <v>2672.7791885906677</v>
      </c>
      <c r="E32">
        <f>[1]!PropsSI("H","Q",1,"P",E9*10^6,"Water")/1000</f>
        <v>2639.8466521571922</v>
      </c>
      <c r="F32">
        <f>[1]!PropsSI("H","Q",1,"P",F9*10^6,"Water")/1000</f>
        <v>2624.9396880914787</v>
      </c>
      <c r="G32">
        <f>[1]!PropsSI("H","Q",1,"P",G9*10^6,"Water")/1000</f>
        <v>2641.9453212457033</v>
      </c>
      <c r="H32">
        <f>[1]!PropsSI("H","Q",1,"P",H9*10^6,"Water")/1000</f>
        <v>2651.2790122467636</v>
      </c>
      <c r="I32">
        <f>[1]!PropsSI("H","Q",1,"P",I9*10^6,"Water")/1000</f>
        <v>2696.2627996498554</v>
      </c>
      <c r="J32">
        <f>[1]!PropsSI("H","Q",1,"P",J9*10^6,"Water")/1000</f>
        <v>2697.6291872417141</v>
      </c>
      <c r="K32">
        <f>[1]!PropsSI("H","Q",1,"P",K9*10^6,"Water")/1000</f>
        <v>2687.9741499329884</v>
      </c>
      <c r="L32">
        <f>[1]!PropsSI("H","Q",1,"P",L9*10^6,"Water")/1000</f>
        <v>2668.4266379185829</v>
      </c>
      <c r="M32">
        <f>[1]!PropsSI("H","Q",1,"P",M9*10^6,"Water")/1000</f>
        <v>2646.4446647673158</v>
      </c>
      <c r="N32">
        <f>[1]!PropsSI("H","Q",1,"P",N9*10^6,"Water")/1000</f>
        <v>2644.4615135023528</v>
      </c>
      <c r="O32">
        <f>[1]!PropsSI("H","Q",1,"P",O9*10^6,"Water")/1000</f>
        <v>2626.0952221993543</v>
      </c>
      <c r="P32">
        <f>[1]!PropsSI("H","Q",1,"P",P9*10^6,"Water")/1000</f>
        <v>2621.7016957811943</v>
      </c>
      <c r="Q32">
        <f>[1]!PropsSI("H","Q",1,"P",Q9*10^6,"Water")/1000</f>
        <v>2621.7016957811943</v>
      </c>
      <c r="R32">
        <f>[1]!PropsSI("H","Q",1,"P",R9*10^6,"Water")/1000</f>
        <v>2645.8749968249517</v>
      </c>
      <c r="S32">
        <f>[1]!PropsSI("H","Q",1,"P",S9*10^6,"Water")/1000</f>
        <v>2645.9568094246006</v>
      </c>
    </row>
    <row r="34" spans="2:19" x14ac:dyDescent="0.35">
      <c r="B34" t="s">
        <v>39</v>
      </c>
      <c r="C34">
        <f>C4</f>
        <v>17.62</v>
      </c>
      <c r="D34">
        <f t="shared" ref="D34:S34" si="6">D4</f>
        <v>16.23</v>
      </c>
      <c r="E34">
        <f t="shared" si="6"/>
        <v>25</v>
      </c>
      <c r="F34">
        <f t="shared" si="6"/>
        <v>29.86</v>
      </c>
      <c r="G34">
        <f t="shared" si="6"/>
        <v>0</v>
      </c>
      <c r="H34">
        <f t="shared" si="6"/>
        <v>0</v>
      </c>
      <c r="I34">
        <f t="shared" si="6"/>
        <v>20.190000000000001</v>
      </c>
      <c r="J34">
        <f t="shared" si="6"/>
        <v>20.440000000000001</v>
      </c>
      <c r="K34">
        <f t="shared" si="6"/>
        <v>23.51</v>
      </c>
      <c r="L34">
        <f t="shared" si="6"/>
        <v>30.26</v>
      </c>
      <c r="M34">
        <f t="shared" si="6"/>
        <v>37.619999999999997</v>
      </c>
      <c r="N34">
        <f t="shared" si="6"/>
        <v>38.22</v>
      </c>
      <c r="O34">
        <f t="shared" si="6"/>
        <v>43</v>
      </c>
      <c r="P34">
        <f t="shared" si="6"/>
        <v>41.91</v>
      </c>
      <c r="Q34">
        <f t="shared" si="6"/>
        <v>41.91</v>
      </c>
      <c r="R34">
        <f t="shared" si="6"/>
        <v>0</v>
      </c>
      <c r="S34">
        <f t="shared" si="6"/>
        <v>0</v>
      </c>
    </row>
    <row r="35" spans="2:19" x14ac:dyDescent="0.35">
      <c r="B35" t="s">
        <v>40</v>
      </c>
      <c r="C35">
        <f>C8</f>
        <v>30.28</v>
      </c>
      <c r="D35">
        <f t="shared" ref="D35:S35" si="7">D8</f>
        <v>32.83</v>
      </c>
      <c r="E35">
        <f t="shared" si="7"/>
        <v>25.9</v>
      </c>
      <c r="F35">
        <f t="shared" si="7"/>
        <v>20.86</v>
      </c>
      <c r="G35">
        <f t="shared" si="7"/>
        <v>45.45</v>
      </c>
      <c r="H35">
        <f t="shared" si="7"/>
        <v>44.72</v>
      </c>
      <c r="I35">
        <f t="shared" si="7"/>
        <v>51.91</v>
      </c>
      <c r="J35">
        <f t="shared" si="7"/>
        <v>53.34</v>
      </c>
      <c r="K35">
        <f t="shared" si="7"/>
        <v>51.53</v>
      </c>
      <c r="L35">
        <f t="shared" si="7"/>
        <v>46.24</v>
      </c>
      <c r="M35">
        <f t="shared" si="7"/>
        <v>37.96</v>
      </c>
      <c r="N35">
        <f t="shared" si="7"/>
        <v>37.270000000000003</v>
      </c>
      <c r="O35">
        <f t="shared" si="7"/>
        <v>29.59</v>
      </c>
      <c r="P35">
        <f t="shared" si="7"/>
        <v>25.67</v>
      </c>
      <c r="Q35">
        <f t="shared" si="7"/>
        <v>26.51</v>
      </c>
      <c r="R35">
        <f t="shared" si="7"/>
        <v>47.22</v>
      </c>
      <c r="S35">
        <f t="shared" si="7"/>
        <v>46.75</v>
      </c>
    </row>
    <row r="36" spans="2:19" x14ac:dyDescent="0.35">
      <c r="B36" t="s">
        <v>43</v>
      </c>
      <c r="C36">
        <f>C16+C18+C20</f>
        <v>111.95</v>
      </c>
      <c r="D36">
        <f t="shared" ref="D36:S36" si="8">D16+D18+D20</f>
        <v>115.77000000000001</v>
      </c>
      <c r="E36">
        <f t="shared" si="8"/>
        <v>119.64</v>
      </c>
      <c r="F36">
        <f t="shared" si="8"/>
        <v>118.44999999999999</v>
      </c>
      <c r="G36">
        <f t="shared" si="8"/>
        <v>107.13</v>
      </c>
      <c r="H36">
        <f t="shared" si="8"/>
        <v>106.06</v>
      </c>
      <c r="I36">
        <f t="shared" si="8"/>
        <v>168.26999999999998</v>
      </c>
      <c r="J36">
        <f t="shared" si="8"/>
        <v>172.10999999999999</v>
      </c>
      <c r="K36">
        <f t="shared" si="8"/>
        <v>174.88000000000002</v>
      </c>
      <c r="L36">
        <f t="shared" si="8"/>
        <v>177.79000000000002</v>
      </c>
      <c r="M36">
        <f t="shared" si="8"/>
        <v>175.73999999999998</v>
      </c>
      <c r="N36">
        <f t="shared" si="8"/>
        <v>175.25</v>
      </c>
      <c r="O36">
        <f t="shared" si="8"/>
        <v>168.98</v>
      </c>
      <c r="P36">
        <f t="shared" si="8"/>
        <v>160.15</v>
      </c>
      <c r="Q36">
        <f t="shared" si="8"/>
        <v>160.15</v>
      </c>
      <c r="R36">
        <f t="shared" si="8"/>
        <v>109.33</v>
      </c>
      <c r="S36">
        <f t="shared" si="8"/>
        <v>109.1</v>
      </c>
    </row>
    <row r="40" spans="2:19" x14ac:dyDescent="0.35">
      <c r="I40">
        <f>I16+I18</f>
        <v>158.69999999999999</v>
      </c>
      <c r="J40">
        <f>J16+J18</f>
        <v>162.19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D7F4F-C630-44C6-B6AE-CF7C437C65FD}">
  <dimension ref="A2:CQ176"/>
  <sheetViews>
    <sheetView tabSelected="1" topLeftCell="K4" zoomScale="70" zoomScaleNormal="70" workbookViewId="0">
      <selection activeCell="R69" sqref="R69"/>
    </sheetView>
  </sheetViews>
  <sheetFormatPr defaultRowHeight="14.5" x14ac:dyDescent="0.35"/>
  <cols>
    <col min="1" max="1" width="37" bestFit="1" customWidth="1"/>
    <col min="2" max="2" width="11.36328125" bestFit="1" customWidth="1"/>
    <col min="18" max="18" width="8.7265625" style="6"/>
  </cols>
  <sheetData>
    <row r="2" spans="1:48" x14ac:dyDescent="0.35">
      <c r="B2">
        <v>100</v>
      </c>
      <c r="Y2">
        <v>75</v>
      </c>
      <c r="AK2">
        <v>50</v>
      </c>
    </row>
    <row r="3" spans="1:48" x14ac:dyDescent="0.35">
      <c r="B3" t="s">
        <v>91</v>
      </c>
      <c r="N3" t="s">
        <v>90</v>
      </c>
      <c r="Y3" t="s">
        <v>91</v>
      </c>
      <c r="AE3" t="s">
        <v>90</v>
      </c>
      <c r="AK3" t="s">
        <v>91</v>
      </c>
      <c r="AQ3" t="s">
        <v>90</v>
      </c>
    </row>
    <row r="4" spans="1:48" x14ac:dyDescent="0.35">
      <c r="A4" t="str">
        <f>'[2]Конденсационные режимы'!B35</f>
        <v>Расход пара, кг/с</v>
      </c>
      <c r="B4">
        <f>'[2]Конденсационные режимы'!C35</f>
        <v>61.51</v>
      </c>
      <c r="C4">
        <f>'[2]Конденсационные режимы'!D35</f>
        <v>61.36</v>
      </c>
      <c r="D4">
        <f>'[2]Конденсационные режимы'!E35</f>
        <v>62.88</v>
      </c>
      <c r="E4">
        <f>'[2]Конденсационные режимы'!F35</f>
        <v>63.95</v>
      </c>
      <c r="F4">
        <f>'[2]Конденсационные режимы'!G35</f>
        <v>65.14</v>
      </c>
      <c r="G4">
        <f>'[2]Конденсационные режимы'!H35</f>
        <v>64.47</v>
      </c>
      <c r="H4">
        <f>'[2]Конденсационные режимы'!I35</f>
        <v>64.400000000000006</v>
      </c>
      <c r="I4" s="4">
        <f>'[2]Конденсационные режимы'!J35</f>
        <v>63.4</v>
      </c>
      <c r="J4">
        <f>'[2]Конденсационные режимы'!K35</f>
        <v>62.63</v>
      </c>
      <c r="K4">
        <f>'[2]Конденсационные режимы'!L35</f>
        <v>62.63</v>
      </c>
      <c r="L4">
        <f>'[2]Конденсационные режимы'!M35</f>
        <v>60.24</v>
      </c>
      <c r="M4">
        <f>'[2]Конденсационные режимы'!N35</f>
        <v>60.24</v>
      </c>
      <c r="N4">
        <f>'[2]Теплофикационные режимы'!C31</f>
        <v>61.36</v>
      </c>
      <c r="O4">
        <f>'[2]Теплофикационные режимы'!D31</f>
        <v>62.92</v>
      </c>
      <c r="P4">
        <f>'[2]Теплофикационные режимы'!E31</f>
        <v>63.95</v>
      </c>
      <c r="Q4">
        <f>'[2]Теплофикационные режимы'!F31</f>
        <v>65.150000000000006</v>
      </c>
      <c r="R4" s="6">
        <f>'[2]Теплофикационные режимы'!G31</f>
        <v>64.47</v>
      </c>
      <c r="S4">
        <f>'[2]Теплофикационные режимы'!H31</f>
        <v>64.41</v>
      </c>
      <c r="T4">
        <f>'[2]Теплофикационные режимы'!I31</f>
        <v>62.64</v>
      </c>
      <c r="U4">
        <f>'[2]Теплофикационные режимы'!J31</f>
        <v>60.26</v>
      </c>
      <c r="V4">
        <f>'[2]Теплофикационные режимы'!K31</f>
        <v>60.26</v>
      </c>
      <c r="W4">
        <f>'[2]Теплофикационные режимы'!L31</f>
        <v>62.64</v>
      </c>
      <c r="X4">
        <f>'[2]Теплофикационные режимы'!M31</f>
        <v>60.26</v>
      </c>
      <c r="Y4">
        <f>'[2]Конденсационные режимы'!C153</f>
        <v>51.75</v>
      </c>
      <c r="Z4">
        <f>'[2]Конденсационные режимы'!D153</f>
        <v>53</v>
      </c>
      <c r="AA4">
        <f>'[2]Конденсационные режимы'!E153</f>
        <v>54.97</v>
      </c>
      <c r="AB4">
        <f>'[2]Конденсационные режимы'!F153</f>
        <v>54.61</v>
      </c>
      <c r="AC4">
        <f>'[2]Конденсационные режимы'!G153</f>
        <v>53.06</v>
      </c>
      <c r="AD4">
        <f>'[2]Конденсационные режимы'!H153</f>
        <v>50.92</v>
      </c>
      <c r="AE4">
        <f>'[2]Теплофикационные режимы'!C147</f>
        <v>51.75</v>
      </c>
      <c r="AF4">
        <f>'[2]Теплофикационные режимы'!D147</f>
        <v>53</v>
      </c>
      <c r="AG4">
        <f>'[2]Теплофикационные режимы'!E147</f>
        <v>54.97</v>
      </c>
      <c r="AH4">
        <f>'[2]Теплофикационные режимы'!F147</f>
        <v>54.61</v>
      </c>
      <c r="AI4">
        <f>'[2]Теплофикационные режимы'!G147</f>
        <v>53.06</v>
      </c>
      <c r="AJ4">
        <f>'[2]Теплофикационные режимы'!H147</f>
        <v>50.92</v>
      </c>
      <c r="AK4">
        <f>'[2]Конденсационные режимы'!C269</f>
        <v>41.97</v>
      </c>
      <c r="AL4">
        <f>'[2]Конденсационные режимы'!D269</f>
        <v>42.97</v>
      </c>
      <c r="AM4">
        <f>'[2]Конденсационные режимы'!E269</f>
        <v>44.5</v>
      </c>
      <c r="AN4">
        <f>'[2]Конденсационные режимы'!F269</f>
        <v>44.44</v>
      </c>
      <c r="AO4">
        <f>'[2]Конденсационные режимы'!G269</f>
        <v>43.17</v>
      </c>
      <c r="AP4">
        <f>'[2]Конденсационные режимы'!H269</f>
        <v>41.42</v>
      </c>
      <c r="AQ4">
        <f>'[2]Теплофикационные режимы'!C267</f>
        <v>41.97</v>
      </c>
      <c r="AR4">
        <f>'[2]Теплофикационные режимы'!D267</f>
        <v>42.97</v>
      </c>
      <c r="AS4">
        <f>'[2]Теплофикационные режимы'!E267</f>
        <v>44.5</v>
      </c>
      <c r="AT4">
        <f>'[2]Теплофикационные режимы'!F267</f>
        <v>44.44</v>
      </c>
      <c r="AU4">
        <f>'[2]Теплофикационные режимы'!G267</f>
        <v>43.17</v>
      </c>
      <c r="AV4">
        <f>'[2]Теплофикационные режимы'!H267</f>
        <v>41.42</v>
      </c>
    </row>
    <row r="5" spans="1:48" x14ac:dyDescent="0.35">
      <c r="A5" t="str">
        <f>'[2]Конденсационные режимы'!B36</f>
        <v>Давление пара, МПа</v>
      </c>
      <c r="B5">
        <f>'[2]Конденсационные режимы'!C36</f>
        <v>7.4930000000000003</v>
      </c>
      <c r="C5">
        <f>'[2]Конденсационные режимы'!D36</f>
        <v>7.48</v>
      </c>
      <c r="D5">
        <f>'[2]Конденсационные режимы'!E36</f>
        <v>7.6760000000000002</v>
      </c>
      <c r="E5">
        <f>'[2]Конденсационные режимы'!F36</f>
        <v>7.8109999999999999</v>
      </c>
      <c r="F5">
        <f>'[2]Конденсационные режимы'!G36</f>
        <v>7.9610000000000003</v>
      </c>
      <c r="G5">
        <f>'[2]Конденсационные режимы'!H36</f>
        <v>7.8959999999999999</v>
      </c>
      <c r="H5">
        <f>'[2]Конденсационные режимы'!I36</f>
        <v>7.8890000000000002</v>
      </c>
      <c r="I5" s="4">
        <f>'[2]Конденсационные режимы'!J36</f>
        <v>7.8449999999999998</v>
      </c>
      <c r="J5">
        <f>'[2]Конденсационные режимы'!K36</f>
        <v>7.7229999999999999</v>
      </c>
      <c r="K5">
        <f>'[2]Конденсационные режимы'!L36</f>
        <v>7.7229999999999999</v>
      </c>
      <c r="L5">
        <f>'[2]Конденсационные режимы'!M36</f>
        <v>7.5170000000000003</v>
      </c>
      <c r="M5">
        <f>'[2]Конденсационные режимы'!N36</f>
        <v>7.5170000000000003</v>
      </c>
      <c r="N5">
        <f>'[2]Теплофикационные режимы'!C32</f>
        <v>7.4790000000000001</v>
      </c>
      <c r="O5">
        <f>'[2]Теплофикационные режимы'!D32</f>
        <v>7.6760000000000002</v>
      </c>
      <c r="P5">
        <f>'[2]Теплофикационные режимы'!E32</f>
        <v>7.8109999999999999</v>
      </c>
      <c r="Q5">
        <f>'[2]Теплофикационные режимы'!F32</f>
        <v>7.9610000000000003</v>
      </c>
      <c r="R5" s="6">
        <f>'[2]Теплофикационные режимы'!G32</f>
        <v>7.8959999999999999</v>
      </c>
      <c r="S5">
        <f>'[2]Теплофикационные режимы'!H32</f>
        <v>7.89</v>
      </c>
      <c r="T5">
        <f>'[2]Теплофикационные режимы'!I32</f>
        <v>7.7240000000000002</v>
      </c>
      <c r="U5">
        <f>'[2]Теплофикационные режимы'!J32</f>
        <v>7.5170000000000003</v>
      </c>
      <c r="V5">
        <f>'[2]Теплофикационные режимы'!K32</f>
        <v>7.5170000000000003</v>
      </c>
      <c r="W5">
        <f>'[2]Теплофикационные режимы'!L32</f>
        <v>7.7240000000000002</v>
      </c>
      <c r="X5">
        <f>'[2]Теплофикационные режимы'!M32</f>
        <v>7.5170000000000003</v>
      </c>
      <c r="Y5">
        <f>'[2]Конденсационные режимы'!C154</f>
        <v>6.4009999999999998</v>
      </c>
      <c r="Z5">
        <f>'[2]Конденсационные режимы'!D154</f>
        <v>6.5640000000000001</v>
      </c>
      <c r="AA5">
        <f>'[2]Конденсационные режимы'!E154</f>
        <v>6.8209999999999997</v>
      </c>
      <c r="AB5">
        <f>'[2]Конденсационные режимы'!F154</f>
        <v>6.7889999999999997</v>
      </c>
      <c r="AC5">
        <f>'[2]Конденсационные режимы'!G154</f>
        <v>6.633</v>
      </c>
      <c r="AD5">
        <f>'[2]Конденсационные режимы'!H154</f>
        <v>6.4409999999999998</v>
      </c>
      <c r="AE5">
        <f>'[2]Теплофикационные режимы'!C148</f>
        <v>6.4009999999999998</v>
      </c>
      <c r="AF5">
        <f>'[2]Теплофикационные режимы'!D148</f>
        <v>6.5640000000000001</v>
      </c>
      <c r="AG5">
        <f>'[2]Теплофикационные режимы'!E148</f>
        <v>6.8209999999999997</v>
      </c>
      <c r="AH5">
        <f>'[2]Теплофикационные режимы'!F148</f>
        <v>6.7889999999999997</v>
      </c>
      <c r="AI5">
        <f>'[2]Теплофикационные режимы'!G148</f>
        <v>6.633</v>
      </c>
      <c r="AJ5">
        <f>'[2]Теплофикационные режимы'!H148</f>
        <v>6.4409999999999998</v>
      </c>
      <c r="AK5">
        <f>'[2]Конденсационные режимы'!C270</f>
        <v>5.1989999999999998</v>
      </c>
      <c r="AL5">
        <f>'[2]Конденсационные режимы'!D270</f>
        <v>5.3310000000000004</v>
      </c>
      <c r="AM5">
        <f>'[2]Конденсационные режимы'!E270</f>
        <v>5.5289999999999999</v>
      </c>
      <c r="AN5">
        <f>'[2]Конденсационные режимы'!F270</f>
        <v>5.53</v>
      </c>
      <c r="AO5">
        <f>'[2]Конденсационные режимы'!G270</f>
        <v>5.4039999999999999</v>
      </c>
      <c r="AP5">
        <f>'[2]Конденсационные режимы'!H270</f>
        <v>5.2460000000000004</v>
      </c>
      <c r="AQ5">
        <f>'[2]Теплофикационные режимы'!C268</f>
        <v>5.1989999999999998</v>
      </c>
      <c r="AR5">
        <f>'[2]Теплофикационные режимы'!D268</f>
        <v>5.3310000000000004</v>
      </c>
      <c r="AS5">
        <f>'[2]Теплофикационные режимы'!E268</f>
        <v>5.5289999999999999</v>
      </c>
      <c r="AT5">
        <f>'[2]Теплофикационные режимы'!F268</f>
        <v>5.53</v>
      </c>
      <c r="AU5">
        <f>'[2]Теплофикационные режимы'!G268</f>
        <v>5.4039999999999999</v>
      </c>
      <c r="AV5">
        <f>'[2]Теплофикационные режимы'!H268</f>
        <v>5.2460000000000004</v>
      </c>
    </row>
    <row r="6" spans="1:48" x14ac:dyDescent="0.35">
      <c r="A6" t="str">
        <f>'[2]Конденсационные режимы'!B37</f>
        <v>Температура пара, °С:</v>
      </c>
      <c r="B6">
        <f>'[2]Конденсационные режимы'!C37</f>
        <v>493.8</v>
      </c>
      <c r="C6">
        <f>'[2]Конденсационные режимы'!D37</f>
        <v>494.5</v>
      </c>
      <c r="D6">
        <f>'[2]Конденсационные режимы'!E37</f>
        <v>496.8</v>
      </c>
      <c r="E6">
        <f>'[2]Конденсационные режимы'!F37</f>
        <v>498.2</v>
      </c>
      <c r="F6">
        <f>'[2]Конденсационные режимы'!G37</f>
        <v>500</v>
      </c>
      <c r="G6">
        <f>'[2]Конденсационные режимы'!H37</f>
        <v>502.2</v>
      </c>
      <c r="H6">
        <f>'[2]Конденсационные режимы'!I37</f>
        <v>502.4</v>
      </c>
      <c r="I6" s="4">
        <f>'[2]Конденсационные режимы'!J37</f>
        <v>508.6</v>
      </c>
      <c r="J6">
        <f>'[2]Конденсационные режимы'!K37</f>
        <v>509.4</v>
      </c>
      <c r="K6">
        <f>'[2]Конденсационные режимы'!L37</f>
        <v>509.4</v>
      </c>
      <c r="L6">
        <f>'[2]Конденсационные режимы'!M37</f>
        <v>524</v>
      </c>
      <c r="M6">
        <f>'[2]Конденсационные режимы'!N37</f>
        <v>524</v>
      </c>
      <c r="N6">
        <f>'[2]Теплофикационные режимы'!C33</f>
        <v>494.5</v>
      </c>
      <c r="O6">
        <f>'[2]Теплофикационные режимы'!D33</f>
        <v>496.1</v>
      </c>
      <c r="P6">
        <f>'[2]Теплофикационные режимы'!E33</f>
        <v>498.2</v>
      </c>
      <c r="Q6">
        <f>'[2]Теплофикационные режимы'!F33</f>
        <v>500</v>
      </c>
      <c r="R6" s="6">
        <f>'[2]Теплофикационные режимы'!G33</f>
        <v>502.2</v>
      </c>
      <c r="S6">
        <f>'[2]Теплофикационные режимы'!H33</f>
        <v>502.4</v>
      </c>
      <c r="T6">
        <f>'[2]Теплофикационные режимы'!I33</f>
        <v>509.4</v>
      </c>
      <c r="U6">
        <f>'[2]Теплофикационные режимы'!J33</f>
        <v>523.4</v>
      </c>
      <c r="V6">
        <f>'[2]Теплофикационные режимы'!K33</f>
        <v>523.4</v>
      </c>
      <c r="W6">
        <f>'[2]Теплофикационные режимы'!L33</f>
        <v>509.4</v>
      </c>
      <c r="X6">
        <f>'[2]Теплофикационные режимы'!M33</f>
        <v>523.4</v>
      </c>
      <c r="Y6">
        <f>'[2]Конденсационные режимы'!C155</f>
        <v>497.9</v>
      </c>
      <c r="Z6">
        <f>'[2]Конденсационные режимы'!D155</f>
        <v>500.5</v>
      </c>
      <c r="AA6">
        <f>'[2]Конденсационные режимы'!E155</f>
        <v>504.1</v>
      </c>
      <c r="AB6">
        <f>'[2]Конденсационные режимы'!F155</f>
        <v>506.1</v>
      </c>
      <c r="AC6">
        <f>'[2]Конденсационные режимы'!G155</f>
        <v>513.1</v>
      </c>
      <c r="AD6">
        <f>'[2]Конденсационные режимы'!H155</f>
        <v>527.29999999999995</v>
      </c>
      <c r="AE6">
        <f>'[2]Теплофикационные режимы'!C149</f>
        <v>497.9</v>
      </c>
      <c r="AF6">
        <f>'[2]Теплофикационные режимы'!D149</f>
        <v>500.5</v>
      </c>
      <c r="AG6">
        <f>'[2]Теплофикационные режимы'!E149</f>
        <v>504.1</v>
      </c>
      <c r="AH6">
        <f>'[2]Теплофикационные режимы'!F149</f>
        <v>506.1</v>
      </c>
      <c r="AI6">
        <f>'[2]Теплофикационные режимы'!G149</f>
        <v>513.1</v>
      </c>
      <c r="AJ6">
        <f>'[2]Теплофикационные режимы'!H149</f>
        <v>527.29999999999995</v>
      </c>
      <c r="AK6">
        <f>'[2]Конденсационные режимы'!C271</f>
        <v>492.2</v>
      </c>
      <c r="AL6">
        <f>'[2]Конденсационные режимы'!D271</f>
        <v>495</v>
      </c>
      <c r="AM6">
        <f>'[2]Конденсационные режимы'!E271</f>
        <v>499</v>
      </c>
      <c r="AN6">
        <f>'[2]Конденсационные режимы'!F271</f>
        <v>500.9</v>
      </c>
      <c r="AO6">
        <f>'[2]Конденсационные режимы'!G271</f>
        <v>507.8</v>
      </c>
      <c r="AP6">
        <f>'[2]Конденсационные режимы'!H271</f>
        <v>522.1</v>
      </c>
      <c r="AQ6">
        <f>'[2]Теплофикационные режимы'!C269</f>
        <v>492.2</v>
      </c>
      <c r="AR6">
        <f>'[2]Теплофикационные режимы'!D269</f>
        <v>495</v>
      </c>
      <c r="AS6">
        <f>'[2]Теплофикационные режимы'!E269</f>
        <v>499</v>
      </c>
      <c r="AT6">
        <f>'[2]Теплофикационные режимы'!F269</f>
        <v>500.9</v>
      </c>
      <c r="AU6">
        <f>'[2]Теплофикационные режимы'!G269</f>
        <v>507.8</v>
      </c>
      <c r="AV6">
        <f>'[2]Теплофикационные режимы'!H269</f>
        <v>522.1</v>
      </c>
    </row>
    <row r="7" spans="1:48" x14ac:dyDescent="0.35">
      <c r="A7" t="str">
        <f>'[2]Конденсационные режимы'!B38</f>
        <v>Пар НД на входе в турбину:</v>
      </c>
      <c r="B7">
        <f>'[2]Конденсационные режимы'!C38</f>
        <v>0</v>
      </c>
      <c r="C7">
        <f>'[2]Конденсационные режимы'!D38</f>
        <v>0</v>
      </c>
      <c r="D7">
        <f>'[2]Конденсационные режимы'!E38</f>
        <v>0</v>
      </c>
      <c r="E7">
        <f>'[2]Конденсационные режимы'!F38</f>
        <v>0</v>
      </c>
      <c r="F7">
        <f>'[2]Конденсационные режимы'!G38</f>
        <v>0</v>
      </c>
      <c r="G7">
        <f>'[2]Конденсационные режимы'!H38</f>
        <v>0</v>
      </c>
      <c r="H7">
        <f>'[2]Конденсационные режимы'!I38</f>
        <v>0</v>
      </c>
      <c r="I7" s="4">
        <f>'[2]Конденсационные режимы'!J38</f>
        <v>0</v>
      </c>
      <c r="J7">
        <f>'[2]Конденсационные режимы'!K38</f>
        <v>0</v>
      </c>
      <c r="K7">
        <f>'[2]Конденсационные режимы'!L38</f>
        <v>0</v>
      </c>
      <c r="L7">
        <f>'[2]Конденсационные режимы'!M38</f>
        <v>0</v>
      </c>
      <c r="M7">
        <f>'[2]Конденсационные режимы'!N38</f>
        <v>0</v>
      </c>
      <c r="N7">
        <f>'[2]Теплофикационные режимы'!C34</f>
        <v>0</v>
      </c>
      <c r="O7">
        <f>'[2]Теплофикационные режимы'!D34</f>
        <v>0</v>
      </c>
      <c r="P7">
        <f>'[2]Теплофикационные режимы'!E34</f>
        <v>0</v>
      </c>
      <c r="Q7">
        <f>'[2]Теплофикационные режимы'!F34</f>
        <v>0</v>
      </c>
      <c r="R7" s="6">
        <f>'[2]Теплофикационные режимы'!G34</f>
        <v>0</v>
      </c>
      <c r="S7">
        <f>'[2]Теплофикационные режимы'!H34</f>
        <v>0</v>
      </c>
      <c r="T7">
        <f>'[2]Теплофикационные режимы'!I34</f>
        <v>0</v>
      </c>
      <c r="U7">
        <f>'[2]Теплофикационные режимы'!J34</f>
        <v>0</v>
      </c>
      <c r="V7">
        <f>'[2]Теплофикационные режимы'!K34</f>
        <v>0</v>
      </c>
      <c r="W7">
        <f>'[2]Теплофикационные режимы'!L34</f>
        <v>0</v>
      </c>
      <c r="X7">
        <f>'[2]Теплофикационные режимы'!M34</f>
        <v>0</v>
      </c>
      <c r="Y7">
        <f>'[2]Конденсационные режимы'!C156</f>
        <v>0</v>
      </c>
      <c r="Z7">
        <f>'[2]Конденсационные режимы'!D156</f>
        <v>0</v>
      </c>
      <c r="AA7">
        <f>'[2]Конденсационные режимы'!E156</f>
        <v>0</v>
      </c>
      <c r="AB7">
        <f>'[2]Конденсационные режимы'!F156</f>
        <v>0</v>
      </c>
      <c r="AC7">
        <f>'[2]Конденсационные режимы'!G156</f>
        <v>0</v>
      </c>
      <c r="AD7">
        <f>'[2]Конденсационные режимы'!H156</f>
        <v>0</v>
      </c>
      <c r="AE7">
        <f>'[2]Теплофикационные режимы'!C150</f>
        <v>0</v>
      </c>
      <c r="AF7">
        <f>'[2]Теплофикационные режимы'!D150</f>
        <v>0</v>
      </c>
      <c r="AG7">
        <f>'[2]Теплофикационные режимы'!E150</f>
        <v>0</v>
      </c>
      <c r="AH7">
        <f>'[2]Теплофикационные режимы'!F150</f>
        <v>0</v>
      </c>
      <c r="AI7">
        <f>'[2]Теплофикационные режимы'!G150</f>
        <v>0</v>
      </c>
      <c r="AJ7">
        <f>'[2]Теплофикационные режимы'!H150</f>
        <v>0</v>
      </c>
      <c r="AK7">
        <f>'[2]Конденсационные режимы'!C272</f>
        <v>0</v>
      </c>
      <c r="AL7">
        <f>'[2]Конденсационные режимы'!D272</f>
        <v>0</v>
      </c>
      <c r="AM7">
        <f>'[2]Конденсационные режимы'!E272</f>
        <v>0</v>
      </c>
      <c r="AN7">
        <f>'[2]Конденсационные режимы'!F272</f>
        <v>0</v>
      </c>
      <c r="AO7">
        <f>'[2]Конденсационные режимы'!G272</f>
        <v>0</v>
      </c>
      <c r="AP7">
        <f>'[2]Конденсационные режимы'!H272</f>
        <v>0</v>
      </c>
      <c r="AQ7">
        <f>'[2]Теплофикационные режимы'!C270</f>
        <v>0</v>
      </c>
      <c r="AR7">
        <f>'[2]Теплофикационные режимы'!D270</f>
        <v>0</v>
      </c>
      <c r="AS7">
        <f>'[2]Теплофикационные режимы'!E270</f>
        <v>0</v>
      </c>
      <c r="AT7">
        <f>'[2]Теплофикационные режимы'!F270</f>
        <v>0</v>
      </c>
      <c r="AU7">
        <f>'[2]Теплофикационные режимы'!G270</f>
        <v>0</v>
      </c>
      <c r="AV7">
        <f>'[2]Теплофикационные режимы'!H270</f>
        <v>0</v>
      </c>
    </row>
    <row r="8" spans="1:48" x14ac:dyDescent="0.35">
      <c r="A8" t="str">
        <f>'[2]Конденсационные режимы'!B39</f>
        <v>Расход пара, кг/с</v>
      </c>
      <c r="B8">
        <f>'[2]Конденсационные режимы'!C39</f>
        <v>15.51</v>
      </c>
      <c r="C8">
        <f>'[2]Конденсационные режимы'!D39</f>
        <v>15.42</v>
      </c>
      <c r="D8">
        <f>'[2]Конденсационные режимы'!E39</f>
        <v>15.59</v>
      </c>
      <c r="E8">
        <f>'[2]Конденсационные режимы'!F39</f>
        <v>15.69</v>
      </c>
      <c r="F8">
        <f>'[2]Конденсационные режимы'!G39</f>
        <v>15.78</v>
      </c>
      <c r="G8">
        <f>'[2]Конденсационные режимы'!H39</f>
        <v>15.46</v>
      </c>
      <c r="H8">
        <f>'[2]Конденсационные режимы'!I39</f>
        <v>15.43</v>
      </c>
      <c r="I8" s="4">
        <f>'[2]Конденсационные режимы'!J39</f>
        <v>14.76</v>
      </c>
      <c r="J8">
        <f>'[2]Конденсационные режимы'!K39</f>
        <v>14.49</v>
      </c>
      <c r="K8">
        <f>'[2]Конденсационные режимы'!L39</f>
        <v>14.53</v>
      </c>
      <c r="L8">
        <f>'[2]Конденсационные режимы'!M39</f>
        <v>13</v>
      </c>
      <c r="M8">
        <f>'[2]Конденсационные режимы'!N39</f>
        <v>12.99</v>
      </c>
      <c r="N8">
        <f>'[2]Теплофикационные режимы'!C35</f>
        <v>15.47</v>
      </c>
      <c r="O8">
        <f>'[2]Теплофикационные режимы'!D35</f>
        <v>15.6</v>
      </c>
      <c r="P8">
        <f>'[2]Теплофикационные режимы'!E35</f>
        <v>15.83</v>
      </c>
      <c r="Q8">
        <f>'[2]Теплофикационные режимы'!F35</f>
        <v>16.100000000000001</v>
      </c>
      <c r="R8" s="6">
        <f>'[2]Теплофикационные режимы'!G35</f>
        <v>15.85</v>
      </c>
      <c r="S8">
        <f>'[2]Теплофикационные режимы'!H35</f>
        <v>15.82</v>
      </c>
      <c r="T8">
        <f>'[2]Теплофикационные режимы'!I35</f>
        <v>14.69</v>
      </c>
      <c r="U8">
        <f>'[2]Теплофикационные режимы'!J35</f>
        <v>12.88</v>
      </c>
      <c r="V8">
        <f>'[2]Теплофикационные режимы'!K35</f>
        <v>12.88</v>
      </c>
      <c r="W8">
        <f>'[2]Теплофикационные режимы'!L35</f>
        <v>14.4</v>
      </c>
      <c r="X8">
        <f>'[2]Теплофикационные режимы'!M35</f>
        <v>12.61</v>
      </c>
      <c r="Y8">
        <f>'[2]Конденсационные режимы'!C157</f>
        <v>12.74</v>
      </c>
      <c r="Z8">
        <f>'[2]Конденсационные режимы'!D157</f>
        <v>12.87</v>
      </c>
      <c r="AA8">
        <f>'[2]Конденсационные режимы'!E157</f>
        <v>13.1</v>
      </c>
      <c r="AB8">
        <f>'[2]Конденсационные режимы'!F157</f>
        <v>12.88</v>
      </c>
      <c r="AC8">
        <f>'[2]Конденсационные режимы'!G157</f>
        <v>12.09</v>
      </c>
      <c r="AD8">
        <f>'[2]Конденсационные режимы'!H157</f>
        <v>10.85</v>
      </c>
      <c r="AE8">
        <f>'[2]Теплофикационные режимы'!C151</f>
        <v>12.72</v>
      </c>
      <c r="AF8">
        <f>'[2]Теплофикационные режимы'!D151</f>
        <v>12.83</v>
      </c>
      <c r="AG8">
        <f>'[2]Теплофикационные режимы'!E151</f>
        <v>13.31</v>
      </c>
      <c r="AH8">
        <f>'[2]Теплофикационные режимы'!F151</f>
        <v>13.14</v>
      </c>
      <c r="AI8">
        <f>'[2]Теплофикационные режимы'!G151</f>
        <v>12.12</v>
      </c>
      <c r="AJ8">
        <f>'[2]Теплофикационные режимы'!H151</f>
        <v>10.87</v>
      </c>
      <c r="AK8">
        <f>'[2]Конденсационные режимы'!C273</f>
        <v>10.57</v>
      </c>
      <c r="AL8">
        <f>'[2]Конденсационные режимы'!D273</f>
        <v>10.74</v>
      </c>
      <c r="AM8">
        <f>'[2]Конденсационные режимы'!E273</f>
        <v>11.04</v>
      </c>
      <c r="AN8">
        <f>'[2]Конденсационные режимы'!F273</f>
        <v>10.92</v>
      </c>
      <c r="AO8">
        <f>'[2]Конденсационные режимы'!G273</f>
        <v>10.17</v>
      </c>
      <c r="AP8">
        <f>'[2]Конденсационные режимы'!H273</f>
        <v>9.0299999999999994</v>
      </c>
      <c r="AQ8">
        <f>'[2]Теплофикационные режимы'!C271</f>
        <v>10.57</v>
      </c>
      <c r="AR8">
        <f>'[2]Теплофикационные режимы'!D271</f>
        <v>10.74</v>
      </c>
      <c r="AS8">
        <f>'[2]Теплофикационные режимы'!E271</f>
        <v>11.04</v>
      </c>
      <c r="AT8">
        <f>'[2]Теплофикационные режимы'!F271</f>
        <v>10.92</v>
      </c>
      <c r="AU8">
        <f>'[2]Теплофикационные режимы'!G271</f>
        <v>10.17</v>
      </c>
      <c r="AV8">
        <f>'[2]Теплофикационные режимы'!H271</f>
        <v>9.0299999999999994</v>
      </c>
    </row>
    <row r="9" spans="1:48" x14ac:dyDescent="0.35">
      <c r="A9" t="str">
        <f>'[2]Конденсационные режимы'!B40</f>
        <v>Давление пара, МПа</v>
      </c>
      <c r="B9">
        <f>'[2]Конденсационные режимы'!C40</f>
        <v>0.59799999999999998</v>
      </c>
      <c r="C9">
        <f>'[2]Конденсационные режимы'!D40</f>
        <v>0.59599999999999997</v>
      </c>
      <c r="D9">
        <f>'[2]Конденсационные режимы'!E40</f>
        <v>0.60799999999999998</v>
      </c>
      <c r="E9">
        <f>'[2]Конденсационные режимы'!F40</f>
        <v>0.61699999999999999</v>
      </c>
      <c r="F9">
        <f>'[2]Конденсационные режимы'!G40</f>
        <v>0.627</v>
      </c>
      <c r="G9">
        <f>'[2]Конденсационные режимы'!H40</f>
        <v>0.62</v>
      </c>
      <c r="H9">
        <f>'[2]Конденсационные режимы'!I40</f>
        <v>0.61899999999999999</v>
      </c>
      <c r="I9" s="4">
        <f>'[2]Конденсационные режимы'!J40</f>
        <v>0.61099999999999999</v>
      </c>
      <c r="J9">
        <f>'[2]Конденсационные режимы'!K40</f>
        <v>0.60199999999999998</v>
      </c>
      <c r="K9">
        <f>'[2]Конденсационные режимы'!L40</f>
        <v>0.60199999999999998</v>
      </c>
      <c r="L9">
        <f>'[2]Конденсационные режимы'!M40</f>
        <v>0.57799999999999996</v>
      </c>
      <c r="M9">
        <f>'[2]Конденсационные режимы'!N40</f>
        <v>0.57899999999999996</v>
      </c>
      <c r="N9">
        <f>'[2]Теплофикационные режимы'!C36</f>
        <v>0.58799999999999997</v>
      </c>
      <c r="O9">
        <f>'[2]Теплофикационные режимы'!D36</f>
        <v>0.60099999999999998</v>
      </c>
      <c r="P9">
        <f>'[2]Теплофикационные режимы'!E36</f>
        <v>0.59499999999999997</v>
      </c>
      <c r="Q9">
        <f>'[2]Теплофикационные режимы'!F36</f>
        <v>0.58499999999999996</v>
      </c>
      <c r="R9" s="6">
        <f>'[2]Теплофикационные режимы'!G36</f>
        <v>0.56899999999999995</v>
      </c>
      <c r="S9">
        <f>'[2]Теплофикационные режимы'!H36</f>
        <v>0.56799999999999995</v>
      </c>
      <c r="T9">
        <f>'[2]Теплофикационные режимы'!I36</f>
        <v>0.54600000000000004</v>
      </c>
      <c r="U9">
        <f>'[2]Теплофикационные режимы'!J36</f>
        <v>0.52200000000000002</v>
      </c>
      <c r="V9">
        <f>'[2]Теплофикационные режимы'!K36</f>
        <v>0.52200000000000002</v>
      </c>
      <c r="W9">
        <f>'[2]Теплофикационные режимы'!L36</f>
        <v>0.58099999999999996</v>
      </c>
      <c r="X9">
        <f>'[2]Теплофикационные режимы'!M36</f>
        <v>0.55600000000000005</v>
      </c>
      <c r="Y9">
        <f>'[2]Конденсационные режимы'!C158</f>
        <v>0.48</v>
      </c>
      <c r="Z9">
        <f>'[2]Конденсационные режимы'!D158</f>
        <v>0.49</v>
      </c>
      <c r="AA9">
        <f>'[2]Конденсационные режимы'!E158</f>
        <v>0.50600000000000001</v>
      </c>
      <c r="AB9">
        <f>'[2]Конденсационные режимы'!F158</f>
        <v>0.503</v>
      </c>
      <c r="AC9">
        <f>'[2]Конденсационные режимы'!G158</f>
        <v>0.48799999999999999</v>
      </c>
      <c r="AD9">
        <f>'[2]Конденсационные режимы'!H158</f>
        <v>0.46800000000000003</v>
      </c>
      <c r="AE9">
        <f>'[2]Теплофикационные режимы'!C152</f>
        <v>0.48199999999999998</v>
      </c>
      <c r="AF9">
        <f>'[2]Теплофикационные режимы'!D152</f>
        <v>0.49399999999999999</v>
      </c>
      <c r="AG9">
        <f>'[2]Теплофикационные режимы'!E152</f>
        <v>0.48</v>
      </c>
      <c r="AH9">
        <f>'[2]Теплофикационные режимы'!F152</f>
        <v>0.47</v>
      </c>
      <c r="AI9">
        <f>'[2]Теплофикационные режимы'!G152</f>
        <v>0.48399999999999999</v>
      </c>
      <c r="AJ9">
        <f>'[2]Теплофикационные режимы'!H152</f>
        <v>0.46400000000000002</v>
      </c>
      <c r="AK9">
        <f>'[2]Конденсационные режимы'!C274</f>
        <v>0.4</v>
      </c>
      <c r="AL9">
        <f>'[2]Конденсационные режимы'!D274</f>
        <v>0.4</v>
      </c>
      <c r="AM9">
        <f>'[2]Конденсационные режимы'!E274</f>
        <v>0.4</v>
      </c>
      <c r="AN9">
        <f>'[2]Конденсационные режимы'!F274</f>
        <v>0.4</v>
      </c>
      <c r="AO9">
        <f>'[2]Конденсационные режимы'!G274</f>
        <v>0.4</v>
      </c>
      <c r="AP9">
        <f>'[2]Конденсационные режимы'!H274</f>
        <v>0.4</v>
      </c>
      <c r="AQ9">
        <f>'[2]Теплофикационные режимы'!C272</f>
        <v>0.4</v>
      </c>
      <c r="AR9">
        <f>'[2]Теплофикационные режимы'!D272</f>
        <v>0.4</v>
      </c>
      <c r="AS9">
        <f>'[2]Теплофикационные режимы'!E272</f>
        <v>0.4</v>
      </c>
      <c r="AT9">
        <f>'[2]Теплофикационные режимы'!F272</f>
        <v>0.4</v>
      </c>
      <c r="AU9">
        <f>'[2]Теплофикационные режимы'!G272</f>
        <v>0.4</v>
      </c>
      <c r="AV9">
        <f>'[2]Теплофикационные режимы'!H272</f>
        <v>0.4</v>
      </c>
    </row>
    <row r="10" spans="1:48" x14ac:dyDescent="0.35">
      <c r="A10" t="str">
        <f>'[2]Конденсационные режимы'!B41</f>
        <v>Температура пара, °С</v>
      </c>
      <c r="B10">
        <f>'[2]Конденсационные режимы'!C41</f>
        <v>210.3</v>
      </c>
      <c r="C10" t="str">
        <f>'[2]Конденсационные режимы'!D41</f>
        <v>210.2</v>
      </c>
      <c r="D10">
        <f>'[2]Конденсационные режимы'!E41</f>
        <v>210.7</v>
      </c>
      <c r="E10">
        <f>'[2]Конденсационные режимы'!F41</f>
        <v>211.1</v>
      </c>
      <c r="F10">
        <f>'[2]Конденсационные режимы'!G41</f>
        <v>211.4</v>
      </c>
      <c r="G10">
        <f>'[2]Конденсационные режимы'!H41</f>
        <v>210.8</v>
      </c>
      <c r="H10">
        <f>'[2]Конденсационные режимы'!I41</f>
        <v>210.8</v>
      </c>
      <c r="I10" s="4">
        <f>'[2]Конденсационные режимы'!J41</f>
        <v>209.8</v>
      </c>
      <c r="J10">
        <f>'[2]Конденсационные режимы'!K41</f>
        <v>209.2</v>
      </c>
      <c r="K10">
        <f>'[2]Конденсационные режимы'!L41</f>
        <v>209.2</v>
      </c>
      <c r="L10">
        <f>'[2]Конденсационные режимы'!M41</f>
        <v>206.5</v>
      </c>
      <c r="M10">
        <f>'[2]Конденсационные режимы'!N41</f>
        <v>206.5</v>
      </c>
      <c r="N10">
        <f>'[2]Теплофикационные режимы'!C37</f>
        <v>210</v>
      </c>
      <c r="O10">
        <f>'[2]Теплофикационные режимы'!D37</f>
        <v>210</v>
      </c>
      <c r="P10">
        <f>'[2]Теплофикационные режимы'!E37</f>
        <v>210</v>
      </c>
      <c r="Q10">
        <f>'[2]Теплофикационные режимы'!F37</f>
        <v>209.8</v>
      </c>
      <c r="R10" s="6">
        <f>'[2]Теплофикационные режимы'!G37</f>
        <v>209.6</v>
      </c>
      <c r="S10">
        <f>'[2]Теплофикационные режимы'!H37</f>
        <v>209.5</v>
      </c>
      <c r="T10">
        <f>'[2]Теплофикационные режимы'!I37</f>
        <v>207.4</v>
      </c>
      <c r="U10">
        <f>'[2]Теплофикационные режимы'!J37</f>
        <v>205.5</v>
      </c>
      <c r="V10">
        <f>'[2]Теплофикационные режимы'!K37</f>
        <v>205.8</v>
      </c>
      <c r="W10">
        <f>'[2]Теплофикационные режимы'!L37</f>
        <v>208.3</v>
      </c>
      <c r="X10">
        <f>'[2]Теплофикационные режимы'!M37</f>
        <v>206.4</v>
      </c>
      <c r="Y10">
        <f>'[2]Конденсационные режимы'!C159</f>
        <v>204.7</v>
      </c>
      <c r="Z10">
        <f>'[2]Конденсационные режимы'!D159</f>
        <v>205.2</v>
      </c>
      <c r="AA10">
        <f>'[2]Конденсационные режимы'!E159</f>
        <v>206</v>
      </c>
      <c r="AB10">
        <f>'[2]Конденсационные режимы'!F159</f>
        <v>205.7</v>
      </c>
      <c r="AC10">
        <f>'[2]Конденсационные режимы'!G159</f>
        <v>204.4</v>
      </c>
      <c r="AD10">
        <f>'[2]Конденсационные режимы'!H159</f>
        <v>202.4</v>
      </c>
      <c r="AE10">
        <f>'[2]Теплофикационные режимы'!C153</f>
        <v>204.5</v>
      </c>
      <c r="AF10">
        <f>'[2]Теплофикационные режимы'!D153</f>
        <v>205.3</v>
      </c>
      <c r="AG10">
        <f>'[2]Теплофикационные режимы'!E153</f>
        <v>205.1</v>
      </c>
      <c r="AH10">
        <f>'[2]Теплофикационные режимы'!F153</f>
        <v>204.6</v>
      </c>
      <c r="AI10">
        <f>'[2]Теплофикационные режимы'!G153</f>
        <v>204.3</v>
      </c>
      <c r="AJ10">
        <f>'[2]Теплофикационные режимы'!H153</f>
        <v>202.3</v>
      </c>
      <c r="AK10">
        <f>'[2]Конденсационные режимы'!C275</f>
        <v>199.4</v>
      </c>
      <c r="AL10">
        <f>'[2]Конденсационные режимы'!D275</f>
        <v>199.6</v>
      </c>
      <c r="AM10">
        <f>'[2]Конденсационные режимы'!E275</f>
        <v>199.8</v>
      </c>
      <c r="AN10">
        <f>'[2]Конденсационные режимы'!F275</f>
        <v>199.7</v>
      </c>
      <c r="AO10">
        <f>'[2]Конденсационные режимы'!G275</f>
        <v>199</v>
      </c>
      <c r="AP10">
        <f>'[2]Конденсационные режимы'!H275</f>
        <v>197.8</v>
      </c>
      <c r="AQ10">
        <f>'[2]Теплофикационные режимы'!C273</f>
        <v>199.4</v>
      </c>
      <c r="AR10">
        <f>'[2]Теплофикационные режимы'!D273</f>
        <v>199.6</v>
      </c>
      <c r="AS10">
        <f>'[2]Теплофикационные режимы'!E273</f>
        <v>199.8</v>
      </c>
      <c r="AT10">
        <f>'[2]Теплофикационные режимы'!F273</f>
        <v>199.7</v>
      </c>
      <c r="AU10">
        <f>'[2]Теплофикационные режимы'!G273</f>
        <v>199</v>
      </c>
      <c r="AV10">
        <f>'[2]Теплофикационные режимы'!H273</f>
        <v>197.8</v>
      </c>
    </row>
    <row r="11" spans="1:48" x14ac:dyDescent="0.35">
      <c r="A11" t="str">
        <f>'[2]Конденсационные режимы'!B42</f>
        <v>Пар после смешения:</v>
      </c>
      <c r="B11">
        <f>'[2]Конденсационные режимы'!C42</f>
        <v>0</v>
      </c>
      <c r="C11">
        <f>'[2]Конденсационные режимы'!D42</f>
        <v>0</v>
      </c>
      <c r="D11">
        <f>'[2]Конденсационные режимы'!E42</f>
        <v>0</v>
      </c>
      <c r="E11">
        <f>'[2]Конденсационные режимы'!F42</f>
        <v>0</v>
      </c>
      <c r="F11">
        <f>'[2]Конденсационные режимы'!G42</f>
        <v>0</v>
      </c>
      <c r="G11">
        <f>'[2]Конденсационные режимы'!H42</f>
        <v>0</v>
      </c>
      <c r="H11">
        <f>'[2]Конденсационные режимы'!I42</f>
        <v>0</v>
      </c>
      <c r="I11" s="4">
        <f>'[2]Конденсационные режимы'!J42</f>
        <v>0</v>
      </c>
      <c r="J11">
        <f>'[2]Конденсационные режимы'!K42</f>
        <v>0</v>
      </c>
      <c r="K11">
        <f>'[2]Конденсационные режимы'!L42</f>
        <v>0</v>
      </c>
      <c r="L11">
        <f>'[2]Конденсационные режимы'!M42</f>
        <v>0</v>
      </c>
      <c r="M11">
        <f>'[2]Конденсационные режимы'!N42</f>
        <v>0</v>
      </c>
      <c r="N11">
        <f>'[2]Теплофикационные режимы'!C38</f>
        <v>0</v>
      </c>
      <c r="O11">
        <f>'[2]Теплофикационные режимы'!D38</f>
        <v>0</v>
      </c>
      <c r="P11">
        <f>'[2]Теплофикационные режимы'!E38</f>
        <v>0</v>
      </c>
      <c r="Q11">
        <f>'[2]Теплофикационные режимы'!F38</f>
        <v>0</v>
      </c>
      <c r="R11" s="6">
        <f>'[2]Теплофикационные режимы'!G38</f>
        <v>0</v>
      </c>
      <c r="S11">
        <f>'[2]Теплофикационные режимы'!H38</f>
        <v>0</v>
      </c>
      <c r="T11">
        <f>'[2]Теплофикационные режимы'!I38</f>
        <v>0</v>
      </c>
      <c r="U11">
        <f>'[2]Теплофикационные режимы'!J38</f>
        <v>0</v>
      </c>
      <c r="V11">
        <f>'[2]Теплофикационные режимы'!K38</f>
        <v>0</v>
      </c>
      <c r="W11">
        <f>'[2]Теплофикационные режимы'!L38</f>
        <v>0</v>
      </c>
      <c r="X11">
        <f>'[2]Теплофикационные режимы'!M38</f>
        <v>0</v>
      </c>
      <c r="Y11">
        <f>'[2]Конденсационные режимы'!C160</f>
        <v>0</v>
      </c>
      <c r="Z11">
        <f>'[2]Конденсационные режимы'!D160</f>
        <v>0</v>
      </c>
      <c r="AA11">
        <f>'[2]Конденсационные режимы'!E160</f>
        <v>0</v>
      </c>
      <c r="AB11">
        <f>'[2]Конденсационные режимы'!F160</f>
        <v>0</v>
      </c>
      <c r="AC11">
        <f>'[2]Конденсационные режимы'!G160</f>
        <v>0</v>
      </c>
      <c r="AD11">
        <f>'[2]Конденсационные режимы'!H160</f>
        <v>0</v>
      </c>
      <c r="AE11">
        <f>'[2]Теплофикационные режимы'!C154</f>
        <v>0</v>
      </c>
      <c r="AF11">
        <f>'[2]Теплофикационные режимы'!D154</f>
        <v>0</v>
      </c>
      <c r="AG11">
        <f>'[2]Теплофикационные режимы'!E154</f>
        <v>0</v>
      </c>
      <c r="AH11">
        <f>'[2]Теплофикационные режимы'!F154</f>
        <v>0</v>
      </c>
      <c r="AI11">
        <f>'[2]Теплофикационные режимы'!G154</f>
        <v>0</v>
      </c>
      <c r="AJ11">
        <f>'[2]Теплофикационные режимы'!H154</f>
        <v>0</v>
      </c>
      <c r="AK11">
        <f>'[2]Конденсационные режимы'!C276</f>
        <v>0</v>
      </c>
      <c r="AL11">
        <f>'[2]Конденсационные режимы'!D276</f>
        <v>0</v>
      </c>
      <c r="AM11">
        <f>'[2]Конденсационные режимы'!E276</f>
        <v>0</v>
      </c>
      <c r="AN11">
        <f>'[2]Конденсационные режимы'!F276</f>
        <v>0</v>
      </c>
      <c r="AO11">
        <f>'[2]Конденсационные режимы'!G276</f>
        <v>0</v>
      </c>
      <c r="AP11">
        <f>'[2]Конденсационные режимы'!H276</f>
        <v>0</v>
      </c>
      <c r="AQ11">
        <f>'[2]Теплофикационные режимы'!C274</f>
        <v>0</v>
      </c>
      <c r="AR11">
        <f>'[2]Теплофикационные режимы'!D274</f>
        <v>0</v>
      </c>
      <c r="AS11">
        <f>'[2]Теплофикационные режимы'!E274</f>
        <v>0</v>
      </c>
      <c r="AT11">
        <f>'[2]Теплофикационные режимы'!F274</f>
        <v>0</v>
      </c>
      <c r="AU11">
        <f>'[2]Теплофикационные режимы'!G274</f>
        <v>0</v>
      </c>
      <c r="AV11">
        <f>'[2]Теплофикационные режимы'!H274</f>
        <v>0</v>
      </c>
    </row>
    <row r="12" spans="1:48" x14ac:dyDescent="0.35">
      <c r="A12" t="str">
        <f>'[2]Конденсационные режимы'!B43</f>
        <v>Расход, кг/с</v>
      </c>
      <c r="B12">
        <f>'[2]Конденсационные режимы'!C43</f>
        <v>76.72</v>
      </c>
      <c r="C12">
        <f>'[2]Конденсационные режимы'!D43</f>
        <v>76.5</v>
      </c>
      <c r="D12">
        <f>'[2]Конденсационные режимы'!E43</f>
        <v>78.17</v>
      </c>
      <c r="E12">
        <f>'[2]Конденсационные режимы'!F43</f>
        <v>79.33</v>
      </c>
      <c r="F12">
        <f>'[2]Конденсационные режимы'!G43</f>
        <v>80.61</v>
      </c>
      <c r="G12">
        <f>'[2]Конденсационные режимы'!H43</f>
        <v>79.62</v>
      </c>
      <c r="H12">
        <f>'[2]Конденсационные режимы'!I43</f>
        <v>79.52</v>
      </c>
      <c r="I12" s="4">
        <f>'[2]Конденсационные режимы'!J43</f>
        <v>78.16</v>
      </c>
      <c r="J12">
        <f>'[2]Конденсационные режимы'!K43</f>
        <v>76.819999999999993</v>
      </c>
      <c r="K12">
        <f>'[2]Конденсационные режимы'!L43</f>
        <v>76.86</v>
      </c>
      <c r="L12">
        <f>'[2]Конденсационные режимы'!M43</f>
        <v>72.94</v>
      </c>
      <c r="M12">
        <f>'[2]Конденсационные режимы'!N43</f>
        <v>72.94</v>
      </c>
      <c r="N12">
        <f>'[2]Теплофикационные режимы'!C39</f>
        <v>76.53</v>
      </c>
      <c r="O12">
        <f>'[2]Теплофикационные режимы'!D39</f>
        <v>78.22</v>
      </c>
      <c r="P12">
        <f>'[2]Теплофикационные режимы'!E39</f>
        <v>79.489999999999995</v>
      </c>
      <c r="Q12">
        <f>'[2]Теплофикационные режимы'!F39</f>
        <v>80.95</v>
      </c>
      <c r="R12" s="6">
        <f>'[2]Теплофикационные режимы'!G39</f>
        <v>80.02</v>
      </c>
      <c r="S12">
        <f>'[2]Теплофикационные режимы'!H39</f>
        <v>79.930000000000007</v>
      </c>
      <c r="T12">
        <f>'[2]Теплофикационные режимы'!I39</f>
        <v>77.040000000000006</v>
      </c>
      <c r="U12">
        <f>'[2]Теплофикационные режимы'!J39</f>
        <v>72.87</v>
      </c>
      <c r="V12">
        <f>'[2]Теплофикационные режимы'!K39</f>
        <v>72.88</v>
      </c>
      <c r="W12">
        <f>'[2]Теплофикационные режимы'!L39</f>
        <v>76.739999999999995</v>
      </c>
      <c r="X12">
        <f>'[2]Теплофикационные режимы'!M39</f>
        <v>72.59</v>
      </c>
      <c r="Y12">
        <f>'[2]Конденсационные режимы'!C161</f>
        <v>64.25</v>
      </c>
      <c r="Z12">
        <f>'[2]Конденсационные режимы'!D161</f>
        <v>65.61</v>
      </c>
      <c r="AA12">
        <f>'[2]Конденсационные режимы'!E161</f>
        <v>67.81</v>
      </c>
      <c r="AB12">
        <f>'[2]Конденсационные режимы'!F161</f>
        <v>67.22</v>
      </c>
      <c r="AC12">
        <f>'[2]Конденсационные режимы'!G161</f>
        <v>64.89</v>
      </c>
      <c r="AD12">
        <f>'[2]Конденсационные режимы'!H161</f>
        <v>61.55</v>
      </c>
      <c r="AE12">
        <f>'[2]Теплофикационные режимы'!C155</f>
        <v>64.22</v>
      </c>
      <c r="AF12">
        <f>'[2]Теплофикационные режимы'!D155</f>
        <v>65.58</v>
      </c>
      <c r="AG12">
        <f>'[2]Теплофикационные режимы'!E155</f>
        <v>68.03</v>
      </c>
      <c r="AH12">
        <f>'[2]Теплофикационные режимы'!F155</f>
        <v>67.5</v>
      </c>
      <c r="AI12">
        <f>'[2]Теплофикационные режимы'!G155</f>
        <v>64.92</v>
      </c>
      <c r="AJ12">
        <f>'[2]Теплофикационные режимы'!H155</f>
        <v>61.55</v>
      </c>
      <c r="AK12">
        <f>'[2]Конденсационные режимы'!C277</f>
        <v>52.33</v>
      </c>
      <c r="AL12">
        <f>'[2]Конденсационные режимы'!D277</f>
        <v>53.5</v>
      </c>
      <c r="AM12">
        <f>'[2]Конденсационные режимы'!E277</f>
        <v>55.33</v>
      </c>
      <c r="AN12">
        <f>'[2]Конденсационные режимы'!F277</f>
        <v>55.2</v>
      </c>
      <c r="AO12">
        <f>'[2]Конденсационные режимы'!G277</f>
        <v>53.14</v>
      </c>
      <c r="AP12">
        <f>'[2]Конденсационные режимы'!H277</f>
        <v>50.25</v>
      </c>
      <c r="AQ12">
        <f>'[2]Теплофикационные режимы'!C275</f>
        <v>52.33</v>
      </c>
      <c r="AR12">
        <f>'[2]Теплофикационные режимы'!D275</f>
        <v>53.5</v>
      </c>
      <c r="AS12">
        <f>'[2]Теплофикационные режимы'!E275</f>
        <v>55.33</v>
      </c>
      <c r="AT12">
        <f>'[2]Теплофикационные режимы'!F275</f>
        <v>55.2</v>
      </c>
      <c r="AU12">
        <f>'[2]Теплофикационные режимы'!G275</f>
        <v>53.14</v>
      </c>
      <c r="AV12">
        <f>'[2]Теплофикационные режимы'!H275</f>
        <v>50.25</v>
      </c>
    </row>
    <row r="13" spans="1:48" x14ac:dyDescent="0.35">
      <c r="A13" t="str">
        <f>'[2]Конденсационные режимы'!B44</f>
        <v>Давление пара, МПа</v>
      </c>
      <c r="B13">
        <f>'[2]Конденсационные режимы'!C44</f>
        <v>0.53600000000000003</v>
      </c>
      <c r="C13">
        <f>'[2]Конденсационные режимы'!D44</f>
        <v>0.53400000000000003</v>
      </c>
      <c r="D13">
        <f>'[2]Конденсационные режимы'!E44</f>
        <v>0.54600000000000004</v>
      </c>
      <c r="E13">
        <f>'[2]Конденсационные режимы'!F44</f>
        <v>0.55500000000000005</v>
      </c>
      <c r="F13">
        <f>'[2]Конденсационные режимы'!G44</f>
        <v>0.56499999999999995</v>
      </c>
      <c r="G13">
        <f>'[2]Конденсационные режимы'!H44</f>
        <v>0.55800000000000005</v>
      </c>
      <c r="H13">
        <f>'[2]Конденсационные режимы'!I44</f>
        <v>0.55700000000000005</v>
      </c>
      <c r="I13" s="4">
        <f>'[2]Конденсационные режимы'!J44</f>
        <v>0.54900000000000004</v>
      </c>
      <c r="J13">
        <f>'[2]Конденсационные режимы'!K44</f>
        <v>0.54</v>
      </c>
      <c r="K13">
        <f>'[2]Конденсационные режимы'!L44</f>
        <v>0.54</v>
      </c>
      <c r="L13">
        <f>'[2]Конденсационные режимы'!M44</f>
        <v>0.51600000000000001</v>
      </c>
      <c r="M13">
        <f>'[2]Конденсационные режимы'!N44</f>
        <v>0.51700000000000002</v>
      </c>
      <c r="N13">
        <f>'[2]Теплофикационные режимы'!C40</f>
        <v>0.52600000000000002</v>
      </c>
      <c r="O13">
        <f>'[2]Теплофикационные режимы'!D40</f>
        <v>0.53900000000000003</v>
      </c>
      <c r="P13">
        <f>'[2]Теплофикационные режимы'!E40</f>
        <v>0.53300000000000003</v>
      </c>
      <c r="Q13">
        <f>'[2]Теплофикационные режимы'!F40</f>
        <v>0.52300000000000002</v>
      </c>
      <c r="R13" s="6">
        <f>'[2]Теплофикационные режимы'!G40</f>
        <v>0.50700000000000001</v>
      </c>
      <c r="S13">
        <f>'[2]Теплофикационные режимы'!H40</f>
        <v>0.50600000000000001</v>
      </c>
      <c r="T13">
        <f>'[2]Теплофикационные режимы'!I40</f>
        <v>0.48399999999999999</v>
      </c>
      <c r="U13">
        <f>'[2]Теплофикационные режимы'!J40</f>
        <v>0.46</v>
      </c>
      <c r="V13">
        <f>'[2]Теплофикационные режимы'!K40</f>
        <v>0.46</v>
      </c>
      <c r="W13">
        <f>'[2]Теплофикационные режимы'!L40</f>
        <v>0.51900000000000002</v>
      </c>
      <c r="X13">
        <f>'[2]Теплофикационные режимы'!M40</f>
        <v>0.49399999999999999</v>
      </c>
      <c r="Y13">
        <f>'[2]Конденсационные режимы'!C162</f>
        <v>0.442</v>
      </c>
      <c r="Z13">
        <f>'[2]Конденсационные режимы'!D162</f>
        <v>0.45200000000000001</v>
      </c>
      <c r="AA13">
        <f>'[2]Конденсационные режимы'!E162</f>
        <v>0.46800000000000003</v>
      </c>
      <c r="AB13">
        <f>'[2]Конденсационные режимы'!F162</f>
        <v>0.46500000000000002</v>
      </c>
      <c r="AC13">
        <f>'[2]Конденсационные режимы'!G162</f>
        <v>0.45</v>
      </c>
      <c r="AD13">
        <f>'[2]Конденсационные режимы'!H162</f>
        <v>0.43</v>
      </c>
      <c r="AE13">
        <f>'[2]Теплофикационные режимы'!C156</f>
        <v>0.44400000000000001</v>
      </c>
      <c r="AF13">
        <f>'[2]Теплофикационные режимы'!D156</f>
        <v>0.45600000000000002</v>
      </c>
      <c r="AG13">
        <f>'[2]Теплофикационные режимы'!E156</f>
        <v>0.442</v>
      </c>
      <c r="AH13">
        <f>'[2]Теплофикационные режимы'!F156</f>
        <v>0.432</v>
      </c>
      <c r="AI13">
        <f>'[2]Теплофикационные режимы'!G156</f>
        <v>0.44600000000000001</v>
      </c>
      <c r="AJ13">
        <f>'[2]Теплофикационные режимы'!H156</f>
        <v>0.42599999999999999</v>
      </c>
      <c r="AK13">
        <f>'[2]Конденсационные режимы'!C278</f>
        <v>0.36</v>
      </c>
      <c r="AL13">
        <f>'[2]Конденсационные режимы'!D278</f>
        <v>0.36899999999999999</v>
      </c>
      <c r="AM13">
        <f>'[2]Конденсационные режимы'!E278</f>
        <v>0.38200000000000001</v>
      </c>
      <c r="AN13">
        <f>'[2]Конденсационные режимы'!F278</f>
        <v>0.38100000000000001</v>
      </c>
      <c r="AO13">
        <f>'[2]Конденсационные режимы'!G278</f>
        <v>0.36699999999999999</v>
      </c>
      <c r="AP13">
        <f>'[2]Конденсационные режимы'!H278</f>
        <v>0.35099999999999998</v>
      </c>
      <c r="AQ13">
        <f>'[2]Теплофикационные режимы'!C276</f>
        <v>0.35799999999999998</v>
      </c>
      <c r="AR13">
        <f>'[2]Теплофикационные режимы'!D276</f>
        <v>0.36399999999999999</v>
      </c>
      <c r="AS13">
        <f>'[2]Теплофикационные режимы'!E276</f>
        <v>0.35699999999999998</v>
      </c>
      <c r="AT13">
        <f>'[2]Теплофикационные режимы'!F276</f>
        <v>0.35199999999999998</v>
      </c>
      <c r="AU13">
        <f>'[2]Теплофикационные режимы'!G276</f>
        <v>0.36599999999999999</v>
      </c>
      <c r="AV13">
        <f>'[2]Теплофикационные режимы'!H276</f>
        <v>0.35199999999999998</v>
      </c>
    </row>
    <row r="14" spans="1:48" x14ac:dyDescent="0.35">
      <c r="A14" t="str">
        <f>'[2]Конденсационные режимы'!B45</f>
        <v>Температура пара,°С</v>
      </c>
      <c r="B14">
        <f>'[2]Конденсационные режимы'!C45</f>
        <v>191.6</v>
      </c>
      <c r="C14">
        <f>'[2]Конденсационные режимы'!D45</f>
        <v>191.9</v>
      </c>
      <c r="D14">
        <f>'[2]Конденсационные режимы'!E45</f>
        <v>192.8</v>
      </c>
      <c r="E14">
        <f>'[2]Конденсационные режимы'!F45</f>
        <v>193.3</v>
      </c>
      <c r="F14">
        <f>'[2]Конденсационные режимы'!G45</f>
        <v>194.4</v>
      </c>
      <c r="G14">
        <f>'[2]Конденсационные режимы'!H45</f>
        <v>195.1</v>
      </c>
      <c r="H14">
        <f>'[2]Конденсационные режимы'!I45</f>
        <v>195.2</v>
      </c>
      <c r="I14" s="4">
        <f>'[2]Конденсационные режимы'!J45</f>
        <v>197.8</v>
      </c>
      <c r="J14">
        <f>'[2]Конденсационные режимы'!K45</f>
        <v>198</v>
      </c>
      <c r="K14">
        <f>'[2]Конденсационные режимы'!L45</f>
        <v>198</v>
      </c>
      <c r="L14">
        <f>'[2]Конденсационные режимы'!M45</f>
        <v>204.7</v>
      </c>
      <c r="M14">
        <f>'[2]Конденсационные режимы'!N45</f>
        <v>204.6</v>
      </c>
      <c r="N14">
        <f>'[2]Теплофикационные режимы'!C41</f>
        <v>190.7</v>
      </c>
      <c r="O14">
        <f>'[2]Теплофикационные режимы'!D41</f>
        <v>191.3</v>
      </c>
      <c r="P14">
        <f>'[2]Теплофикационные режимы'!E41</f>
        <v>190.2</v>
      </c>
      <c r="Q14">
        <f>'[2]Теплофикационные режимы'!F41</f>
        <v>188.4</v>
      </c>
      <c r="R14" s="6">
        <f>'[2]Теплофикационные режимы'!G41</f>
        <v>188</v>
      </c>
      <c r="S14">
        <f>'[2]Теплофикационные режимы'!H41</f>
        <v>188</v>
      </c>
      <c r="T14">
        <f>'[2]Теплофикационные режимы'!I41</f>
        <v>189.9</v>
      </c>
      <c r="U14">
        <f>'[2]Теплофикационные режимы'!J41</f>
        <v>195.68</v>
      </c>
      <c r="V14">
        <f>'[2]Теплофикационные режимы'!K41</f>
        <v>195.68</v>
      </c>
      <c r="W14">
        <f>'[2]Теплофикационные режимы'!L41</f>
        <v>194.9</v>
      </c>
      <c r="X14">
        <f>'[2]Теплофикационные режимы'!M41</f>
        <v>201</v>
      </c>
      <c r="Y14">
        <f>'[2]Конденсационные режимы'!C163</f>
        <v>191.7</v>
      </c>
      <c r="Z14">
        <f>'[2]Конденсационные режимы'!D163</f>
        <v>192.8</v>
      </c>
      <c r="AA14">
        <f>'[2]Конденсационные режимы'!E163</f>
        <v>194.4</v>
      </c>
      <c r="AB14">
        <f>'[2]Конденсационные режимы'!F163</f>
        <v>195.3</v>
      </c>
      <c r="AC14">
        <f>'[2]Конденсационные режимы'!G163</f>
        <v>198.3</v>
      </c>
      <c r="AD14">
        <f>'[2]Конденсационные режимы'!H163</f>
        <v>205.1</v>
      </c>
      <c r="AE14">
        <f>'[2]Теплофикационные режимы'!C157</f>
        <v>192.1</v>
      </c>
      <c r="AF14">
        <f>'[2]Теплофикационные режимы'!D157</f>
        <v>193.5</v>
      </c>
      <c r="AG14">
        <f>'[2]Теплофикационные режимы'!E157</f>
        <v>190.2</v>
      </c>
      <c r="AH14">
        <f>'[2]Теплофикационные режимы'!F157</f>
        <v>190</v>
      </c>
      <c r="AI14">
        <f>'[2]Теплофикационные режимы'!G157</f>
        <v>197.7</v>
      </c>
      <c r="AJ14">
        <f>'[2]Теплофикационные режимы'!H157</f>
        <v>204.4</v>
      </c>
      <c r="AK14">
        <f>'[2]Конденсационные режимы'!C279</f>
        <v>191.9</v>
      </c>
      <c r="AL14">
        <f>'[2]Конденсационные режимы'!D279</f>
        <v>193.2</v>
      </c>
      <c r="AM14">
        <f>'[2]Конденсационные режимы'!E279</f>
        <v>195.2</v>
      </c>
      <c r="AN14">
        <f>'[2]Конденсационные режимы'!F279</f>
        <v>196</v>
      </c>
      <c r="AO14">
        <f>'[2]Конденсационные режимы'!G279</f>
        <v>196.1</v>
      </c>
      <c r="AP14">
        <f>'[2]Конденсационные режимы'!H279</f>
        <v>205.8</v>
      </c>
      <c r="AQ14">
        <f>'[2]Теплофикационные режимы'!C277</f>
        <v>191.5</v>
      </c>
      <c r="AR14">
        <f>'[2]Теплофикационные режимы'!D277</f>
        <v>192.3</v>
      </c>
      <c r="AS14">
        <f>'[2]Теплофикационные режимы'!E277</f>
        <v>190.4</v>
      </c>
      <c r="AT14">
        <f>'[2]Теплофикационные режимы'!F277</f>
        <v>190.3</v>
      </c>
      <c r="AU14">
        <f>'[2]Теплофикационные режимы'!G277</f>
        <v>198.5</v>
      </c>
      <c r="AV14">
        <f>'[2]Теплофикационные режимы'!H277</f>
        <v>206.1</v>
      </c>
    </row>
    <row r="15" spans="1:48" x14ac:dyDescent="0.35">
      <c r="A15" t="str">
        <f>'[2]Конденсационные режимы'!B46</f>
        <v>Пар в отборе 2:</v>
      </c>
      <c r="B15">
        <f>'[2]Конденсационные режимы'!C46</f>
        <v>0</v>
      </c>
      <c r="C15">
        <f>'[2]Конденсационные режимы'!D46</f>
        <v>0</v>
      </c>
      <c r="D15">
        <f>'[2]Конденсационные режимы'!E46</f>
        <v>0</v>
      </c>
      <c r="E15">
        <f>'[2]Конденсационные режимы'!F46</f>
        <v>0</v>
      </c>
      <c r="F15">
        <f>'[2]Конденсационные режимы'!G46</f>
        <v>0</v>
      </c>
      <c r="G15">
        <f>'[2]Конденсационные режимы'!H46</f>
        <v>0</v>
      </c>
      <c r="H15">
        <f>'[2]Конденсационные режимы'!I46</f>
        <v>0</v>
      </c>
      <c r="I15" s="4">
        <f>'[2]Конденсационные режимы'!J46</f>
        <v>0</v>
      </c>
      <c r="J15">
        <f>'[2]Конденсационные режимы'!K46</f>
        <v>0</v>
      </c>
      <c r="K15">
        <f>'[2]Конденсационные режимы'!L46</f>
        <v>0</v>
      </c>
      <c r="L15">
        <f>'[2]Конденсационные режимы'!M46</f>
        <v>0</v>
      </c>
      <c r="M15">
        <f>'[2]Конденсационные режимы'!N46</f>
        <v>0</v>
      </c>
      <c r="N15">
        <f>'[2]Теплофикационные режимы'!C42</f>
        <v>0</v>
      </c>
      <c r="O15">
        <f>'[2]Теплофикационные режимы'!D42</f>
        <v>0</v>
      </c>
      <c r="P15">
        <f>'[2]Теплофикационные режимы'!E42</f>
        <v>0</v>
      </c>
      <c r="Q15">
        <f>'[2]Теплофикационные режимы'!F42</f>
        <v>0</v>
      </c>
      <c r="R15" s="6">
        <f>'[2]Теплофикационные режимы'!G42</f>
        <v>0</v>
      </c>
      <c r="S15">
        <f>'[2]Теплофикационные режимы'!H42</f>
        <v>0</v>
      </c>
      <c r="T15">
        <f>'[2]Теплофикационные режимы'!I42</f>
        <v>0</v>
      </c>
      <c r="U15">
        <f>'[2]Теплофикационные режимы'!J42</f>
        <v>0</v>
      </c>
      <c r="V15">
        <f>'[2]Теплофикационные режимы'!K42</f>
        <v>0</v>
      </c>
      <c r="W15">
        <f>'[2]Теплофикационные режимы'!L42</f>
        <v>0</v>
      </c>
      <c r="X15">
        <f>'[2]Теплофикационные режимы'!M42</f>
        <v>0</v>
      </c>
      <c r="Y15">
        <f>'[2]Конденсационные режимы'!C164</f>
        <v>0</v>
      </c>
      <c r="Z15">
        <f>'[2]Конденсационные режимы'!D164</f>
        <v>0</v>
      </c>
      <c r="AA15">
        <f>'[2]Конденсационные режимы'!E164</f>
        <v>0</v>
      </c>
      <c r="AB15">
        <f>'[2]Конденсационные режимы'!F164</f>
        <v>0</v>
      </c>
      <c r="AC15">
        <f>'[2]Конденсационные режимы'!G164</f>
        <v>0</v>
      </c>
      <c r="AD15">
        <f>'[2]Конденсационные режимы'!H164</f>
        <v>0</v>
      </c>
      <c r="AE15">
        <f>'[2]Теплофикационные режимы'!C158</f>
        <v>0</v>
      </c>
      <c r="AF15">
        <f>'[2]Теплофикационные режимы'!D158</f>
        <v>0</v>
      </c>
      <c r="AG15">
        <f>'[2]Теплофикационные режимы'!E158</f>
        <v>0</v>
      </c>
      <c r="AH15">
        <f>'[2]Теплофикационные режимы'!F158</f>
        <v>0</v>
      </c>
      <c r="AI15">
        <f>'[2]Теплофикационные режимы'!G158</f>
        <v>0</v>
      </c>
      <c r="AJ15">
        <f>'[2]Теплофикационные режимы'!H158</f>
        <v>0</v>
      </c>
      <c r="AK15">
        <f>'[2]Конденсационные режимы'!C280</f>
        <v>0</v>
      </c>
      <c r="AL15">
        <f>'[2]Конденсационные режимы'!D280</f>
        <v>0</v>
      </c>
      <c r="AM15">
        <f>'[2]Конденсационные режимы'!E280</f>
        <v>0</v>
      </c>
      <c r="AN15">
        <f>'[2]Конденсационные режимы'!F280</f>
        <v>0</v>
      </c>
      <c r="AO15">
        <f>'[2]Конденсационные режимы'!G280</f>
        <v>0</v>
      </c>
      <c r="AP15">
        <f>'[2]Конденсационные режимы'!H280</f>
        <v>0</v>
      </c>
      <c r="AQ15">
        <f>'[2]Теплофикационные режимы'!C278</f>
        <v>0</v>
      </c>
      <c r="AR15">
        <f>'[2]Теплофикационные режимы'!D278</f>
        <v>0</v>
      </c>
      <c r="AS15">
        <f>'[2]Теплофикационные режимы'!E278</f>
        <v>0</v>
      </c>
      <c r="AT15">
        <f>'[2]Теплофикационные режимы'!F278</f>
        <v>0</v>
      </c>
      <c r="AU15">
        <f>'[2]Теплофикационные режимы'!G278</f>
        <v>0</v>
      </c>
      <c r="AV15">
        <f>'[2]Теплофикационные режимы'!H278</f>
        <v>0</v>
      </c>
    </row>
    <row r="16" spans="1:48" x14ac:dyDescent="0.35">
      <c r="A16" t="str">
        <f>'[2]Конденсационные режимы'!B47</f>
        <v>Расход, кг/с</v>
      </c>
      <c r="B16">
        <f>'[2]Конденсационные режимы'!C47</f>
        <v>0</v>
      </c>
      <c r="C16">
        <f>'[2]Конденсационные режимы'!D47</f>
        <v>0</v>
      </c>
      <c r="D16">
        <f>'[2]Конденсационные режимы'!E47</f>
        <v>0</v>
      </c>
      <c r="E16">
        <f>'[2]Конденсационные режимы'!F47</f>
        <v>0</v>
      </c>
      <c r="F16">
        <f>'[2]Конденсационные режимы'!G47</f>
        <v>0</v>
      </c>
      <c r="G16">
        <f>'[2]Конденсационные режимы'!H47</f>
        <v>0</v>
      </c>
      <c r="H16">
        <f>'[2]Конденсационные режимы'!I47</f>
        <v>0</v>
      </c>
      <c r="I16" s="4">
        <f>'[2]Конденсационные режимы'!J47</f>
        <v>0</v>
      </c>
      <c r="J16">
        <f>'[2]Конденсационные режимы'!K47</f>
        <v>0</v>
      </c>
      <c r="K16">
        <f>'[2]Конденсационные режимы'!L47</f>
        <v>0</v>
      </c>
      <c r="L16">
        <f>'[2]Конденсационные режимы'!M47</f>
        <v>0</v>
      </c>
      <c r="M16">
        <f>'[2]Конденсационные режимы'!N47</f>
        <v>0</v>
      </c>
      <c r="N16">
        <f>'[2]Теплофикационные режимы'!C43</f>
        <v>20.190000000000001</v>
      </c>
      <c r="O16">
        <f>'[2]Теплофикационные режимы'!D43</f>
        <v>20.440000000000001</v>
      </c>
      <c r="P16">
        <f>'[2]Теплофикационные режимы'!E43</f>
        <v>23.51</v>
      </c>
      <c r="Q16">
        <f>'[2]Теплофикационные режимы'!F43</f>
        <v>30.26</v>
      </c>
      <c r="R16" s="6">
        <f>'[2]Теплофикационные режимы'!G43</f>
        <v>37.619999999999997</v>
      </c>
      <c r="S16">
        <f>'[2]Теплофикационные режимы'!H43</f>
        <v>38.22</v>
      </c>
      <c r="T16">
        <f>'[2]Теплофикационные режимы'!I43</f>
        <v>43</v>
      </c>
      <c r="U16">
        <f>'[2]Теплофикационные режимы'!J43</f>
        <v>41.91</v>
      </c>
      <c r="V16">
        <f>'[2]Теплофикационные режимы'!K43</f>
        <v>41.91</v>
      </c>
      <c r="W16">
        <f>'[2]Теплофикационные режимы'!L43</f>
        <v>0</v>
      </c>
      <c r="X16">
        <f>'[2]Теплофикационные режимы'!M43</f>
        <v>0</v>
      </c>
      <c r="Y16">
        <f>'[2]Конденсационные режимы'!C165</f>
        <v>0</v>
      </c>
      <c r="Z16">
        <f>'[2]Конденсационные режимы'!D165</f>
        <v>0</v>
      </c>
      <c r="AA16">
        <f>'[2]Конденсационные режимы'!E165</f>
        <v>0</v>
      </c>
      <c r="AB16">
        <f>'[2]Конденсационные режимы'!F165</f>
        <v>0</v>
      </c>
      <c r="AC16">
        <f>'[2]Конденсационные режимы'!G165</f>
        <v>0</v>
      </c>
      <c r="AD16">
        <f>'[2]Конденсационные режимы'!H165</f>
        <v>0</v>
      </c>
      <c r="AE16">
        <f>'[2]Теплофикационные режимы'!C161</f>
        <v>18.010000000000002</v>
      </c>
      <c r="AF16">
        <f>'[2]Теплофикационные режимы'!D161</f>
        <v>17.760000000000002</v>
      </c>
      <c r="AG16">
        <f>'[2]Теплофикационные режимы'!E161</f>
        <v>27.69</v>
      </c>
      <c r="AH16">
        <f>'[2]Теплофикационные режимы'!F161</f>
        <v>33.33</v>
      </c>
      <c r="AI16">
        <f>'[2]Теплофикационные режимы'!G161</f>
        <v>0</v>
      </c>
      <c r="AJ16">
        <f>'[2]Теплофикационные режимы'!H161</f>
        <v>0</v>
      </c>
      <c r="AK16">
        <f>'[2]Конденсационные режимы'!C281</f>
        <v>0</v>
      </c>
      <c r="AL16">
        <f>'[2]Конденсационные режимы'!D281</f>
        <v>0</v>
      </c>
      <c r="AM16">
        <f>'[2]Конденсационные режимы'!E281</f>
        <v>0</v>
      </c>
      <c r="AN16">
        <f>'[2]Конденсационные режимы'!F281</f>
        <v>0</v>
      </c>
      <c r="AO16">
        <f>'[2]Конденсационные режимы'!G281</f>
        <v>0</v>
      </c>
      <c r="AP16">
        <f>'[2]Конденсационные режимы'!H281</f>
        <v>0</v>
      </c>
      <c r="AQ16">
        <f>'[2]Теплофикационные режимы'!C279</f>
        <v>17.62</v>
      </c>
      <c r="AR16">
        <f>'[2]Теплофикационные режимы'!D279</f>
        <v>16.23</v>
      </c>
      <c r="AS16">
        <f>'[2]Теплофикационные режимы'!E279</f>
        <v>25</v>
      </c>
      <c r="AT16">
        <f>'[2]Теплофикационные режимы'!F279</f>
        <v>29.86</v>
      </c>
      <c r="AU16">
        <f>'[2]Теплофикационные режимы'!G279</f>
        <v>0</v>
      </c>
      <c r="AV16">
        <f>'[2]Теплофикационные режимы'!H279</f>
        <v>0</v>
      </c>
    </row>
    <row r="17" spans="1:48" x14ac:dyDescent="0.35">
      <c r="A17" t="str">
        <f>'[2]Конденсационные режимы'!B48</f>
        <v>Давление пара, МПа</v>
      </c>
      <c r="B17">
        <f>'[2]Конденсационные режимы'!C48</f>
        <v>0.24829999999999999</v>
      </c>
      <c r="C17">
        <f>'[2]Конденсационные режимы'!D48</f>
        <v>0.24759999999999999</v>
      </c>
      <c r="D17">
        <f>'[2]Конденсационные режимы'!E48</f>
        <v>0.25330000000000003</v>
      </c>
      <c r="E17">
        <f>'[2]Конденсационные режимы'!F48</f>
        <v>0.25719999999999998</v>
      </c>
      <c r="F17">
        <f>'[2]Конденсационные режимы'!G48</f>
        <v>0.2616</v>
      </c>
      <c r="G17">
        <f>'[2]Конденсационные режимы'!H48</f>
        <v>0.25850000000000001</v>
      </c>
      <c r="H17">
        <f>'[2]Конденсационные режимы'!I48</f>
        <v>0.25819999999999999</v>
      </c>
      <c r="I17" s="4">
        <f>'[2]Конденсационные режимы'!J48</f>
        <v>0.25419999999999998</v>
      </c>
      <c r="J17">
        <f>'[2]Конденсационные режимы'!K48</f>
        <v>0.25</v>
      </c>
      <c r="K17">
        <f>'[2]Конденсационные режимы'!L48</f>
        <v>0.25019999999999998</v>
      </c>
      <c r="L17">
        <f>'[2]Конденсационные режимы'!M48</f>
        <v>0.2392</v>
      </c>
      <c r="M17">
        <f>'[2]Конденсационные режимы'!N48</f>
        <v>0.23980000000000001</v>
      </c>
      <c r="N17">
        <f>'[2]Теплофикационные режимы'!C44</f>
        <v>0.21629999999999999</v>
      </c>
      <c r="O17">
        <f>'[2]Теплофикационные режимы'!D44</f>
        <v>0.2225</v>
      </c>
      <c r="P17">
        <f>'[2]Теплофикационные режимы'!E44</f>
        <v>0.19389999999999999</v>
      </c>
      <c r="Q17">
        <f>'[2]Теплофикационные режимы'!F44</f>
        <v>0.1497</v>
      </c>
      <c r="R17" s="6">
        <f>'[2]Теплофикационные режимы'!G44</f>
        <v>0.1123</v>
      </c>
      <c r="S17">
        <f>'[2]Теплофикационные режимы'!H44</f>
        <v>0.1096</v>
      </c>
      <c r="T17">
        <f>'[2]Теплофикационные режимы'!I44</f>
        <v>8.4599999999999995E-2</v>
      </c>
      <c r="U17">
        <f>'[2]Теплофикационные режимы'!J44</f>
        <v>7.6700000000000004E-2</v>
      </c>
      <c r="V17">
        <f>'[2]Теплофикационные режимы'!K44</f>
        <v>7.6700000000000004E-2</v>
      </c>
      <c r="W17">
        <f>'[2]Теплофикационные режимы'!L44</f>
        <v>0.2046</v>
      </c>
      <c r="X17">
        <f>'[2]Теплофикационные режимы'!M44</f>
        <v>0.19500000000000001</v>
      </c>
      <c r="Y17">
        <f>'[2]Конденсационные режимы'!C166</f>
        <v>0.184</v>
      </c>
      <c r="Z17">
        <f>'[2]Конденсационные режимы'!D166</f>
        <v>0.189</v>
      </c>
      <c r="AA17">
        <f>'[2]Конденсационные режимы'!E166</f>
        <v>0.19500000000000001</v>
      </c>
      <c r="AB17">
        <f>'[2]Конденсационные режимы'!F166</f>
        <v>0.19400000000000001</v>
      </c>
      <c r="AC17">
        <f>'[2]Конденсационные режимы'!G166</f>
        <v>0.188</v>
      </c>
      <c r="AD17">
        <f>'[2]Конденсационные режимы'!H166</f>
        <v>0.18</v>
      </c>
      <c r="AE17">
        <f>'[2]Теплофикационные режимы'!C162</f>
        <v>0.1754</v>
      </c>
      <c r="AF17">
        <f>'[2]Теплофикационные режимы'!D162</f>
        <v>0.1883</v>
      </c>
      <c r="AG17">
        <f>'[2]Теплофикационные режимы'!E162</f>
        <v>0.1148</v>
      </c>
      <c r="AH17">
        <f>'[2]Теплофикационные режимы'!F162</f>
        <v>8.9300000000000004E-2</v>
      </c>
      <c r="AI17">
        <f>'[2]Теплофикационные режимы'!G162</f>
        <v>0.1787</v>
      </c>
      <c r="AJ17">
        <f>'[2]Теплофикационные режимы'!H162</f>
        <v>0.1714</v>
      </c>
      <c r="AK17">
        <f>'[2]Конденсационные режимы'!C282</f>
        <v>0.15</v>
      </c>
      <c r="AL17">
        <f>'[2]Конденсационные режимы'!D282</f>
        <v>0.15379999999999999</v>
      </c>
      <c r="AM17">
        <f>'[2]Конденсационные режимы'!E282</f>
        <v>0.1595</v>
      </c>
      <c r="AN17">
        <f>'[2]Конденсационные режимы'!F282</f>
        <v>0.15909999999999999</v>
      </c>
      <c r="AO17">
        <f>'[2]Конденсационные режимы'!G282</f>
        <v>0.153</v>
      </c>
      <c r="AP17">
        <f>'[2]Конденсационные режимы'!H282</f>
        <v>0.1469</v>
      </c>
      <c r="AQ17">
        <f>'[2]Теплофикационные режимы'!C280</f>
        <v>0.13089999999999999</v>
      </c>
      <c r="AR17">
        <f>'[2]Теплофикационные режимы'!D280</f>
        <v>0.13439999999999999</v>
      </c>
      <c r="AS17">
        <f>'[2]Теплофикационные режимы'!E280</f>
        <v>8.4900000000000003E-2</v>
      </c>
      <c r="AT17">
        <f>'[2]Теплофикационные режимы'!F280</f>
        <v>6.4899999999999999E-2</v>
      </c>
      <c r="AU17">
        <f>'[2]Теплофикационные режимы'!G280</f>
        <v>0.14760000000000001</v>
      </c>
      <c r="AV17">
        <f>'[2]Теплофикационные режимы'!H280</f>
        <v>0.14910000000000001</v>
      </c>
    </row>
    <row r="18" spans="1:48" x14ac:dyDescent="0.35">
      <c r="A18" t="str">
        <f>'[2]Конденсационные режимы'!B49</f>
        <v>Температура пара, °С</v>
      </c>
      <c r="B18">
        <f>'[2]Конденсационные режимы'!C49</f>
        <v>127.2</v>
      </c>
      <c r="C18">
        <f>'[2]Конденсационные режимы'!D49</f>
        <v>127.1</v>
      </c>
      <c r="D18">
        <f>'[2]Конденсационные режимы'!E49</f>
        <v>127.8</v>
      </c>
      <c r="E18">
        <f>'[2]Конденсационные режимы'!F49</f>
        <v>128.30000000000001</v>
      </c>
      <c r="F18">
        <f>'[2]Конденсационные режимы'!G49</f>
        <v>128.9</v>
      </c>
      <c r="G18">
        <f>'[2]Конденсационные режимы'!H49</f>
        <v>129</v>
      </c>
      <c r="H18">
        <f>'[2]Конденсационные режимы'!I49</f>
        <v>129.19999999999999</v>
      </c>
      <c r="I18" s="4">
        <f>'[2]Конденсационные режимы'!J49</f>
        <v>131.4</v>
      </c>
      <c r="J18">
        <f>'[2]Конденсационные режимы'!K49</f>
        <v>131.6</v>
      </c>
      <c r="K18">
        <f>'[2]Конденсационные режимы'!L49</f>
        <v>131.69999999999999</v>
      </c>
      <c r="L18">
        <f>'[2]Конденсационные режимы'!M49</f>
        <v>137.6</v>
      </c>
      <c r="M18">
        <f>'[2]Конденсационные режимы'!N49</f>
        <v>137.69999999999999</v>
      </c>
      <c r="N18">
        <f>'[2]Теплофикационные режимы'!C45</f>
        <v>122.6</v>
      </c>
      <c r="O18">
        <f>'[2]Теплофикационные режимы'!D45</f>
        <v>123.6</v>
      </c>
      <c r="P18">
        <f>'[2]Теплофикационные режимы'!E45</f>
        <v>119.2</v>
      </c>
      <c r="Q18">
        <f>'[2]Теплофикационные режимы'!F45</f>
        <v>111.3</v>
      </c>
      <c r="R18" s="6">
        <f>'[2]Теплофикационные режимы'!G45</f>
        <v>102.9</v>
      </c>
      <c r="S18">
        <f>'[2]Теплофикационные режимы'!H45</f>
        <v>102.2</v>
      </c>
      <c r="T18">
        <f>'[2]Теплофикационные режимы'!I45</f>
        <v>95</v>
      </c>
      <c r="U18">
        <f>'[2]Теплофикационные режимы'!J45</f>
        <v>92.4</v>
      </c>
      <c r="V18">
        <f>'[2]Теплофикационные режимы'!K45</f>
        <v>92.4</v>
      </c>
      <c r="W18">
        <f>'[2]Теплофикационные режимы'!L45</f>
        <v>120.9</v>
      </c>
      <c r="X18">
        <f>'[2]Теплофикационные режимы'!M45</f>
        <v>121.8</v>
      </c>
      <c r="Y18">
        <f>'[2]Конденсационные режимы'!C167</f>
        <v>118.4</v>
      </c>
      <c r="Z18">
        <f>'[2]Конденсационные режимы'!D167</f>
        <v>119.3</v>
      </c>
      <c r="AA18">
        <f>'[2]Конденсационные режимы'!E167</f>
        <v>120.4</v>
      </c>
      <c r="AB18">
        <f>'[2]Конденсационные режимы'!F167</f>
        <v>121.1</v>
      </c>
      <c r="AC18">
        <f>'[2]Конденсационные режимы'!G167</f>
        <v>123.9</v>
      </c>
      <c r="AD18">
        <f>'[2]Конденсационные режимы'!H167</f>
        <v>129.9</v>
      </c>
      <c r="AE18">
        <f>'[2]Теплофикационные режимы'!C163</f>
        <v>119.4</v>
      </c>
      <c r="AF18">
        <f>'[2]Теплофикационные режимы'!D163</f>
        <v>122.2</v>
      </c>
      <c r="AG18">
        <f>'[2]Теплофикационные режимы'!E163</f>
        <v>103.5</v>
      </c>
      <c r="AH18">
        <f>'[2]Теплофикационные режимы'!F163</f>
        <v>96.5</v>
      </c>
      <c r="AI18">
        <f>'[2]Теплофикационные режимы'!G163</f>
        <v>120.2</v>
      </c>
      <c r="AJ18">
        <f>'[2]Теплофикационные режимы'!H163</f>
        <v>126.3</v>
      </c>
      <c r="AK18">
        <f>'[2]Конденсационные режимы'!C283</f>
        <v>119.3</v>
      </c>
      <c r="AL18">
        <f>'[2]Конденсационные режимы'!D283</f>
        <v>120.4</v>
      </c>
      <c r="AM18">
        <f>'[2]Конденсационные режимы'!E283</f>
        <v>122.1</v>
      </c>
      <c r="AN18">
        <f>'[2]Конденсационные режимы'!F283</f>
        <v>122.9</v>
      </c>
      <c r="AO18">
        <f>'[2]Конденсационные режимы'!G283</f>
        <v>122.1</v>
      </c>
      <c r="AP18">
        <f>'[2]Конденсационные режимы'!H283</f>
        <v>131.6</v>
      </c>
      <c r="AQ18">
        <f>'[2]Теплофикационные режимы'!C281</f>
        <v>116.1</v>
      </c>
      <c r="AR18">
        <f>'[2]Теплофикационные режимы'!D281</f>
        <v>114.4</v>
      </c>
      <c r="AS18">
        <f>'[2]Теплофикационные режимы'!E281</f>
        <v>95.1</v>
      </c>
      <c r="AT18">
        <f>'[2]Теплофикационные режимы'!F281</f>
        <v>87.9</v>
      </c>
      <c r="AU18">
        <f>'[2]Теплофикационные режимы'!G281</f>
        <v>122.5</v>
      </c>
      <c r="AV18">
        <f>'[2]Теплофикационные режимы'!H281</f>
        <v>132.69999999999999</v>
      </c>
    </row>
    <row r="19" spans="1:48" x14ac:dyDescent="0.35">
      <c r="A19" t="str">
        <f>'[2]Конденсационные режимы'!B50</f>
        <v>Пар в отборе 1:</v>
      </c>
      <c r="B19">
        <f>'[2]Конденсационные режимы'!C50</f>
        <v>0</v>
      </c>
      <c r="C19">
        <f>'[2]Конденсационные режимы'!D50</f>
        <v>0</v>
      </c>
      <c r="D19">
        <f>'[2]Конденсационные режимы'!E50</f>
        <v>0</v>
      </c>
      <c r="E19">
        <f>'[2]Конденсационные режимы'!F50</f>
        <v>0</v>
      </c>
      <c r="F19">
        <f>'[2]Конденсационные режимы'!G50</f>
        <v>0</v>
      </c>
      <c r="G19">
        <f>'[2]Конденсационные режимы'!H50</f>
        <v>0</v>
      </c>
      <c r="H19">
        <f>'[2]Конденсационные режимы'!I50</f>
        <v>0</v>
      </c>
      <c r="I19" s="4">
        <f>'[2]Конденсационные режимы'!J50</f>
        <v>0</v>
      </c>
      <c r="J19">
        <f>'[2]Конденсационные режимы'!K50</f>
        <v>0</v>
      </c>
      <c r="K19">
        <f>'[2]Конденсационные режимы'!L50</f>
        <v>0</v>
      </c>
      <c r="L19">
        <f>'[2]Конденсационные режимы'!M50</f>
        <v>0</v>
      </c>
      <c r="M19">
        <f>'[2]Конденсационные режимы'!N50</f>
        <v>0</v>
      </c>
      <c r="N19">
        <f>'[2]Теплофикационные режимы'!C46</f>
        <v>0</v>
      </c>
      <c r="O19">
        <f>'[2]Теплофикационные режимы'!D46</f>
        <v>0</v>
      </c>
      <c r="P19">
        <f>'[2]Теплофикационные режимы'!E46</f>
        <v>0</v>
      </c>
      <c r="Q19">
        <f>'[2]Теплофикационные режимы'!F46</f>
        <v>0</v>
      </c>
      <c r="R19" s="6">
        <f>'[2]Теплофикационные режимы'!G46</f>
        <v>0</v>
      </c>
      <c r="S19">
        <f>'[2]Теплофикационные режимы'!H46</f>
        <v>0</v>
      </c>
      <c r="T19">
        <f>'[2]Теплофикационные режимы'!I46</f>
        <v>0</v>
      </c>
      <c r="U19">
        <f>'[2]Теплофикационные режимы'!J46</f>
        <v>0</v>
      </c>
      <c r="V19">
        <f>'[2]Теплофикационные режимы'!K46</f>
        <v>0</v>
      </c>
      <c r="W19">
        <f>'[2]Теплофикационные режимы'!L46</f>
        <v>0</v>
      </c>
      <c r="X19">
        <f>'[2]Теплофикационные режимы'!M46</f>
        <v>0</v>
      </c>
      <c r="Y19">
        <f>'[2]Конденсационные режимы'!C168</f>
        <v>0</v>
      </c>
      <c r="Z19">
        <f>'[2]Конденсационные режимы'!D168</f>
        <v>0</v>
      </c>
      <c r="AA19">
        <f>'[2]Конденсационные режимы'!E168</f>
        <v>0</v>
      </c>
      <c r="AB19">
        <f>'[2]Конденсационные режимы'!F168</f>
        <v>0</v>
      </c>
      <c r="AC19">
        <f>'[2]Конденсационные режимы'!G168</f>
        <v>0</v>
      </c>
      <c r="AD19">
        <f>'[2]Конденсационные режимы'!H168</f>
        <v>0</v>
      </c>
      <c r="AE19">
        <f>'[2]Теплофикационные режимы'!C164</f>
        <v>0</v>
      </c>
      <c r="AF19">
        <f>'[2]Теплофикационные режимы'!D164</f>
        <v>0</v>
      </c>
      <c r="AG19">
        <f>'[2]Теплофикационные режимы'!E164</f>
        <v>0</v>
      </c>
      <c r="AH19">
        <f>'[2]Теплофикационные режимы'!F164</f>
        <v>0</v>
      </c>
      <c r="AI19">
        <f>'[2]Теплофикационные режимы'!G164</f>
        <v>0</v>
      </c>
      <c r="AJ19">
        <f>'[2]Теплофикационные режимы'!H164</f>
        <v>0</v>
      </c>
      <c r="AK19">
        <f>'[2]Конденсационные режимы'!C284</f>
        <v>0</v>
      </c>
      <c r="AL19">
        <f>'[2]Конденсационные режимы'!D284</f>
        <v>0</v>
      </c>
      <c r="AM19">
        <f>'[2]Конденсационные режимы'!E284</f>
        <v>0</v>
      </c>
      <c r="AN19">
        <f>'[2]Конденсационные режимы'!F284</f>
        <v>0</v>
      </c>
      <c r="AO19">
        <f>'[2]Конденсационные режимы'!G284</f>
        <v>0</v>
      </c>
      <c r="AP19">
        <f>'[2]Конденсационные режимы'!H284</f>
        <v>0</v>
      </c>
      <c r="AQ19">
        <f>'[2]Теплофикационные режимы'!C282</f>
        <v>0</v>
      </c>
      <c r="AR19">
        <f>'[2]Теплофикационные режимы'!D282</f>
        <v>0</v>
      </c>
      <c r="AS19">
        <f>'[2]Теплофикационные режимы'!E282</f>
        <v>0</v>
      </c>
      <c r="AT19">
        <f>'[2]Теплофикационные режимы'!F282</f>
        <v>0</v>
      </c>
      <c r="AU19">
        <f>'[2]Теплофикационные режимы'!G282</f>
        <v>0</v>
      </c>
      <c r="AV19">
        <f>'[2]Теплофикационные режимы'!H282</f>
        <v>0</v>
      </c>
    </row>
    <row r="20" spans="1:48" x14ac:dyDescent="0.35">
      <c r="A20" t="str">
        <f>'[2]Конденсационные режимы'!B51</f>
        <v>Расход, кг/с</v>
      </c>
      <c r="B20">
        <f>'[2]Конденсационные режимы'!C51</f>
        <v>0</v>
      </c>
      <c r="C20">
        <f>'[2]Конденсационные режимы'!D51</f>
        <v>0</v>
      </c>
      <c r="D20">
        <f>'[2]Конденсационные режимы'!E51</f>
        <v>0</v>
      </c>
      <c r="E20">
        <f>'[2]Конденсационные режимы'!F51</f>
        <v>0</v>
      </c>
      <c r="F20">
        <f>'[2]Конденсационные режимы'!G51</f>
        <v>0</v>
      </c>
      <c r="G20">
        <f>'[2]Конденсационные режимы'!H51</f>
        <v>0</v>
      </c>
      <c r="H20">
        <f>'[2]Конденсационные режимы'!I51</f>
        <v>0</v>
      </c>
      <c r="I20" s="4">
        <f>'[2]Конденсационные режимы'!J51</f>
        <v>0</v>
      </c>
      <c r="J20">
        <f>'[2]Конденсационные режимы'!K51</f>
        <v>0</v>
      </c>
      <c r="K20">
        <f>'[2]Конденсационные режимы'!L51</f>
        <v>0</v>
      </c>
      <c r="L20">
        <f>'[2]Конденсационные режимы'!M51</f>
        <v>0</v>
      </c>
      <c r="M20">
        <f>'[2]Конденсационные режимы'!N51</f>
        <v>0</v>
      </c>
      <c r="N20">
        <f>'[2]Теплофикационные режимы'!C47</f>
        <v>51.91</v>
      </c>
      <c r="O20">
        <f>'[2]Теплофикационные режимы'!D47</f>
        <v>53.34</v>
      </c>
      <c r="P20">
        <f>'[2]Теплофикационные режимы'!E47</f>
        <v>51.53</v>
      </c>
      <c r="Q20">
        <f>'[2]Теплофикационные режимы'!F47</f>
        <v>46.24</v>
      </c>
      <c r="R20" s="6">
        <f>'[2]Теплофикационные режимы'!G47</f>
        <v>37.96</v>
      </c>
      <c r="S20">
        <f>'[2]Теплофикационные режимы'!H47</f>
        <v>37.270000000000003</v>
      </c>
      <c r="T20">
        <f>'[2]Теплофикационные режимы'!I47</f>
        <v>29.59</v>
      </c>
      <c r="U20">
        <f>'[2]Теплофикационные режимы'!J47</f>
        <v>25.67</v>
      </c>
      <c r="V20">
        <f>'[2]Теплофикационные режимы'!K47</f>
        <v>26.51</v>
      </c>
      <c r="W20">
        <f>'[2]Теплофикационные режимы'!L47</f>
        <v>47.22</v>
      </c>
      <c r="X20">
        <f>'[2]Теплофикационные режимы'!M47</f>
        <v>46.75</v>
      </c>
      <c r="Y20">
        <f>'[2]Конденсационные режимы'!C169</f>
        <v>0</v>
      </c>
      <c r="Z20">
        <f>'[2]Конденсационные режимы'!D169</f>
        <v>0</v>
      </c>
      <c r="AA20">
        <f>'[2]Конденсационные режимы'!E169</f>
        <v>0</v>
      </c>
      <c r="AB20">
        <f>'[2]Конденсационные режимы'!F169</f>
        <v>0</v>
      </c>
      <c r="AC20">
        <f>'[2]Конденсационные режимы'!G169</f>
        <v>0</v>
      </c>
      <c r="AD20">
        <f>'[2]Конденсационные режимы'!H169</f>
        <v>0</v>
      </c>
      <c r="AE20">
        <f>'[2]Теплофикационные режимы'!C165</f>
        <v>41.78</v>
      </c>
      <c r="AF20">
        <f>'[2]Теплофикационные режимы'!D165</f>
        <v>43.39</v>
      </c>
      <c r="AG20">
        <f>'[2]Теплофикационные режимы'!E165</f>
        <v>35.89</v>
      </c>
      <c r="AH20">
        <f>'[2]Теплофикационные режимы'!F165</f>
        <v>29.72</v>
      </c>
      <c r="AI20">
        <f>'[2]Теплофикационные режимы'!G165</f>
        <v>46.07</v>
      </c>
      <c r="AJ20">
        <f>'[2]Теплофикационные режимы'!H165</f>
        <v>46.55</v>
      </c>
      <c r="AK20">
        <f>'[2]Конденсационные режимы'!C285</f>
        <v>0</v>
      </c>
      <c r="AL20">
        <f>'[2]Конденсационные режимы'!D285</f>
        <v>0</v>
      </c>
      <c r="AM20">
        <f>'[2]Конденсационные режимы'!E285</f>
        <v>0</v>
      </c>
      <c r="AN20">
        <f>'[2]Конденсационные режимы'!F285</f>
        <v>0</v>
      </c>
      <c r="AO20">
        <f>'[2]Конденсационные режимы'!G285</f>
        <v>0</v>
      </c>
      <c r="AP20">
        <f>'[2]Конденсационные режимы'!H285</f>
        <v>0</v>
      </c>
      <c r="AQ20">
        <f>'[2]Теплофикационные режимы'!C283</f>
        <v>30.28</v>
      </c>
      <c r="AR20">
        <f>'[2]Теплофикационные режимы'!D283</f>
        <v>32.83</v>
      </c>
      <c r="AS20">
        <f>'[2]Теплофикационные режимы'!E283</f>
        <v>25.9</v>
      </c>
      <c r="AT20">
        <f>'[2]Теплофикационные режимы'!F283</f>
        <v>20.86</v>
      </c>
      <c r="AU20">
        <f>'[2]Теплофикационные режимы'!G283</f>
        <v>45.45</v>
      </c>
      <c r="AV20">
        <f>'[2]Теплофикационные режимы'!H283</f>
        <v>44.72</v>
      </c>
    </row>
    <row r="21" spans="1:48" x14ac:dyDescent="0.35">
      <c r="A21" t="str">
        <f>'[2]Конденсационные режимы'!B52</f>
        <v>Давление пара, МПа</v>
      </c>
      <c r="B21">
        <f>'[2]Конденсационные режимы'!C52</f>
        <v>0.1492</v>
      </c>
      <c r="C21">
        <f>'[2]Конденсационные режимы'!D52</f>
        <v>0.1487</v>
      </c>
      <c r="D21">
        <f>'[2]Конденсационные режимы'!E52</f>
        <v>0.1522</v>
      </c>
      <c r="E21">
        <f>'[2]Конденсационные режимы'!F52</f>
        <v>0.15459999999999999</v>
      </c>
      <c r="F21">
        <f>'[2]Конденсационные режимы'!G52</f>
        <v>0.15720000000000001</v>
      </c>
      <c r="G21">
        <f>'[2]Конденсационные режимы'!H52</f>
        <v>0.15540000000000001</v>
      </c>
      <c r="H21">
        <f>'[2]Конденсационные режимы'!I52</f>
        <v>0.1552</v>
      </c>
      <c r="I21" s="4">
        <f>'[2]Конденсационные режимы'!J52</f>
        <v>0.1525</v>
      </c>
      <c r="J21">
        <f>'[2]Конденсационные режимы'!K52</f>
        <v>0.15</v>
      </c>
      <c r="K21">
        <f>'[2]Конденсационные режимы'!L52</f>
        <v>0.15029999999999999</v>
      </c>
      <c r="L21">
        <f>'[2]Конденсационные режимы'!M52</f>
        <v>0.14369999999999999</v>
      </c>
      <c r="M21">
        <f>'[2]Конденсационные режимы'!N52</f>
        <v>0.14460000000000001</v>
      </c>
      <c r="N21">
        <f>'[2]Теплофикационные режимы'!C48</f>
        <v>0.1608</v>
      </c>
      <c r="O21">
        <f>'[2]Теплофикационные режимы'!D48</f>
        <v>0.16569999999999999</v>
      </c>
      <c r="P21">
        <f>'[2]Теплофикационные режимы'!E48</f>
        <v>0.13389999999999999</v>
      </c>
      <c r="Q21">
        <f>'[2]Теплофикационные режимы'!F48</f>
        <v>8.6199999999999999E-2</v>
      </c>
      <c r="R21" s="6">
        <f>'[2]Теплофикационные режимы'!G48</f>
        <v>5.1499999999999997E-2</v>
      </c>
      <c r="S21">
        <f>'[2]Теплофикационные режимы'!H48</f>
        <v>4.9099999999999998E-2</v>
      </c>
      <c r="T21">
        <f>'[2]Теплофикационные режимы'!I48</f>
        <v>3.1199999999999999E-2</v>
      </c>
      <c r="U21">
        <f>'[2]Теплофикационные режимы'!J48</f>
        <v>2.7900000000000001E-2</v>
      </c>
      <c r="V21">
        <f>'[2]Теплофикационные режимы'!K48</f>
        <v>2.7900000000000001E-2</v>
      </c>
      <c r="W21">
        <f>'[2]Теплофикационные режимы'!L48</f>
        <v>5.0799999999999998E-2</v>
      </c>
      <c r="X21">
        <f>'[2]Теплофикационные режимы'!M48</f>
        <v>5.0900000000000001E-2</v>
      </c>
      <c r="Y21">
        <f>'[2]Конденсационные режимы'!C170</f>
        <v>0.08</v>
      </c>
      <c r="Z21">
        <f>'[2]Конденсационные режимы'!D170</f>
        <v>8.2000000000000003E-2</v>
      </c>
      <c r="AA21">
        <f>'[2]Конденсационные режимы'!E170</f>
        <v>8.5000000000000006E-2</v>
      </c>
      <c r="AB21">
        <f>'[2]Конденсационные режимы'!F170</f>
        <v>8.4000000000000005E-2</v>
      </c>
      <c r="AC21">
        <f>'[2]Конденсационные режимы'!G170</f>
        <v>8.1000000000000003E-2</v>
      </c>
      <c r="AD21">
        <f>'[2]Конденсационные режимы'!H170</f>
        <v>7.9000000000000001E-2</v>
      </c>
      <c r="AE21">
        <f>'[2]Теплофикационные режимы'!C166</f>
        <v>0.12839999999999999</v>
      </c>
      <c r="AF21">
        <f>'[2]Теплофикационные режимы'!D166</f>
        <v>0.1452</v>
      </c>
      <c r="AG21">
        <f>'[2]Теплофикационные режимы'!E166</f>
        <v>6.0600000000000001E-2</v>
      </c>
      <c r="AH21">
        <f>'[2]Теплофикационные режимы'!F166</f>
        <v>3.9800000000000002E-2</v>
      </c>
      <c r="AI21">
        <f>'[2]Теплофикационные режимы'!G166</f>
        <v>5.21E-2</v>
      </c>
      <c r="AJ21">
        <f>'[2]Теплофикационные режимы'!H166</f>
        <v>5.1700000000000003E-2</v>
      </c>
      <c r="AK21">
        <f>'[2]Конденсационные режимы'!C286</f>
        <v>6.4699999999999994E-2</v>
      </c>
      <c r="AL21">
        <f>'[2]Конденсационные режимы'!D286</f>
        <v>6.6299999999999998E-2</v>
      </c>
      <c r="AM21">
        <f>'[2]Конденсационные режимы'!E286</f>
        <v>6.88E-2</v>
      </c>
      <c r="AN21">
        <f>'[2]Конденсационные режимы'!F286</f>
        <v>6.8599999999999994E-2</v>
      </c>
      <c r="AO21">
        <f>'[2]Конденсационные режимы'!G286</f>
        <v>6.6000000000000003E-2</v>
      </c>
      <c r="AP21">
        <f>'[2]Конденсационные режимы'!H286</f>
        <v>6.4000000000000001E-2</v>
      </c>
      <c r="AQ21">
        <f>'[2]Теплофикационные режимы'!C284</f>
        <v>9.6299999999999997E-2</v>
      </c>
      <c r="AR21">
        <f>'[2]Теплофикационные режимы'!D284</f>
        <v>9.5200000000000007E-2</v>
      </c>
      <c r="AS21">
        <f>'[2]Теплофикационные режимы'!E284</f>
        <v>4.3900000000000002E-2</v>
      </c>
      <c r="AT21">
        <f>'[2]Теплофикационные режимы'!F284</f>
        <v>3.0300000000000001E-2</v>
      </c>
      <c r="AU21">
        <f>'[2]Теплофикационные режимы'!G284</f>
        <v>4.6199999999999998E-2</v>
      </c>
      <c r="AV21">
        <f>'[2]Теплофикационные режимы'!H284</f>
        <v>5.7799999999999997E-2</v>
      </c>
    </row>
    <row r="22" spans="1:48" x14ac:dyDescent="0.35">
      <c r="A22" t="str">
        <f>'[2]Конденсационные режимы'!B53</f>
        <v>Температура пара, °С</v>
      </c>
      <c r="B22">
        <f>'[2]Конденсационные режимы'!C53</f>
        <v>111.2</v>
      </c>
      <c r="C22">
        <f>'[2]Конденсационные режимы'!D53</f>
        <v>111.1</v>
      </c>
      <c r="D22">
        <f>'[2]Конденсационные режимы'!E53</f>
        <v>111.8</v>
      </c>
      <c r="E22">
        <f>'[2]Конденсационные режимы'!F53</f>
        <v>112.2</v>
      </c>
      <c r="F22">
        <f>'[2]Конденсационные режимы'!G53</f>
        <v>112.8</v>
      </c>
      <c r="G22">
        <f>'[2]Конденсационные режимы'!H53</f>
        <v>112.4</v>
      </c>
      <c r="H22">
        <f>'[2]Конденсационные режимы'!I53</f>
        <v>112.4</v>
      </c>
      <c r="I22" s="4">
        <f>'[2]Конденсационные режимы'!J53</f>
        <v>111.8</v>
      </c>
      <c r="J22">
        <f>'[2]Конденсационные режимы'!K53</f>
        <v>111.3</v>
      </c>
      <c r="K22">
        <f>'[2]Конденсационные режимы'!L53</f>
        <v>111.4</v>
      </c>
      <c r="L22">
        <f>'[2]Конденсационные режимы'!M53</f>
        <v>110.1</v>
      </c>
      <c r="M22">
        <f>'[2]Конденсационные режимы'!N53</f>
        <v>110.2</v>
      </c>
      <c r="N22">
        <f>'[2]Теплофикационные режимы'!C49</f>
        <v>113.4</v>
      </c>
      <c r="O22">
        <f>'[2]Теплофикационные режимы'!D49</f>
        <v>114.4</v>
      </c>
      <c r="P22">
        <f>'[2]Теплофикационные режимы'!E49</f>
        <v>108</v>
      </c>
      <c r="Q22">
        <f>'[2]Теплофикационные режимы'!F49</f>
        <v>95.5</v>
      </c>
      <c r="R22" s="6">
        <f>'[2]Теплофикационные режимы'!G49</f>
        <v>82</v>
      </c>
      <c r="S22">
        <f>'[2]Теплофикационные режимы'!H49</f>
        <v>80.900000000000006</v>
      </c>
      <c r="T22">
        <f>'[2]Теплофикационные режимы'!I49</f>
        <v>69.900000000000006</v>
      </c>
      <c r="U22">
        <f>'[2]Теплофикационные режимы'!J49</f>
        <v>67.37</v>
      </c>
      <c r="V22">
        <f>'[2]Теплофикационные режимы'!K49</f>
        <v>67.37</v>
      </c>
      <c r="W22">
        <f>'[2]Теплофикационные режимы'!L49</f>
        <v>81.72</v>
      </c>
      <c r="X22">
        <f>'[2]Теплофикационные режимы'!M49</f>
        <v>81.73</v>
      </c>
      <c r="Y22">
        <f>'[2]Конденсационные режимы'!C171</f>
        <v>93.4</v>
      </c>
      <c r="Z22">
        <f>'[2]Конденсационные режимы'!D171</f>
        <v>94</v>
      </c>
      <c r="AA22">
        <f>'[2]Конденсационные режимы'!E171</f>
        <v>95</v>
      </c>
      <c r="AB22">
        <f>'[2]Конденсационные режимы'!F171</f>
        <v>94.8</v>
      </c>
      <c r="AC22">
        <f>'[2]Конденсационные режимы'!G171</f>
        <v>93.9</v>
      </c>
      <c r="AD22">
        <f>'[2]Конденсационные режимы'!H171</f>
        <v>93</v>
      </c>
      <c r="AE22">
        <f>'[2]Теплофикационные режимы'!C167</f>
        <v>106.7</v>
      </c>
      <c r="AF22">
        <f>'[2]Теплофикационные режимы'!D167</f>
        <v>110.4</v>
      </c>
      <c r="AG22">
        <f>'[2]Теплофикационные режимы'!E167</f>
        <v>86.2</v>
      </c>
      <c r="AH22">
        <f>'[2]Теплофикационные режимы'!F167</f>
        <v>75.8</v>
      </c>
      <c r="AI22">
        <f>'[2]Теплофикационные режимы'!G167</f>
        <v>82.3</v>
      </c>
      <c r="AJ22">
        <f>'[2]Теплофикационные режимы'!H167</f>
        <v>82.14</v>
      </c>
      <c r="AK22">
        <f>'[2]Конденсационные режимы'!C287</f>
        <v>87.9</v>
      </c>
      <c r="AL22">
        <f>'[2]Конденсационные режимы'!D287</f>
        <v>88.5</v>
      </c>
      <c r="AM22">
        <f>'[2]Конденсационные режимы'!E287</f>
        <v>89.5</v>
      </c>
      <c r="AN22">
        <f>'[2]Конденсационные режимы'!F287</f>
        <v>89.4</v>
      </c>
      <c r="AO22">
        <f>'[2]Конденсационные режимы'!G287</f>
        <v>88.4</v>
      </c>
      <c r="AP22">
        <f>'[2]Конденсационные режимы'!H287</f>
        <v>87.6</v>
      </c>
      <c r="AQ22">
        <f>'[2]Теплофикационные режимы'!C285</f>
        <v>98.6</v>
      </c>
      <c r="AR22">
        <f>'[2]Теплофикационные режимы'!D285</f>
        <v>98.2</v>
      </c>
      <c r="AS22">
        <f>'[2]Теплофикационные режимы'!E285</f>
        <v>78.099999999999994</v>
      </c>
      <c r="AT22">
        <f>'[2]Теплофикационные режимы'!F285</f>
        <v>69.3</v>
      </c>
      <c r="AU22">
        <f>'[2]Теплофикационные режимы'!G285</f>
        <v>79.400000000000006</v>
      </c>
      <c r="AV22">
        <f>'[2]Теплофикационные режимы'!H285</f>
        <v>84.9</v>
      </c>
    </row>
    <row r="23" spans="1:48" x14ac:dyDescent="0.35">
      <c r="A23" t="str">
        <f>'[2]Конденсационные режимы'!B54</f>
        <v>Пар перед ЦНД:</v>
      </c>
      <c r="B23">
        <f>'[2]Конденсационные режимы'!C54</f>
        <v>0</v>
      </c>
      <c r="C23">
        <f>'[2]Конденсационные режимы'!D54</f>
        <v>0</v>
      </c>
      <c r="D23">
        <f>'[2]Конденсационные режимы'!E54</f>
        <v>0</v>
      </c>
      <c r="E23">
        <f>'[2]Конденсационные режимы'!F54</f>
        <v>0</v>
      </c>
      <c r="F23">
        <f>'[2]Конденсационные режимы'!G54</f>
        <v>0</v>
      </c>
      <c r="G23">
        <f>'[2]Конденсационные режимы'!H54</f>
        <v>0</v>
      </c>
      <c r="H23">
        <f>'[2]Конденсационные режимы'!I54</f>
        <v>0</v>
      </c>
      <c r="I23" s="4">
        <f>'[2]Конденсационные режимы'!J54</f>
        <v>0</v>
      </c>
      <c r="J23">
        <f>'[2]Конденсационные режимы'!K54</f>
        <v>0</v>
      </c>
      <c r="K23">
        <f>'[2]Конденсационные режимы'!L54</f>
        <v>0</v>
      </c>
      <c r="L23">
        <f>'[2]Конденсационные режимы'!M54</f>
        <v>0</v>
      </c>
      <c r="M23">
        <f>'[2]Конденсационные режимы'!N54</f>
        <v>0</v>
      </c>
      <c r="N23">
        <f>'[2]Теплофикационные режимы'!C50</f>
        <v>0</v>
      </c>
      <c r="O23">
        <f>'[2]Теплофикационные режимы'!D50</f>
        <v>0</v>
      </c>
      <c r="P23">
        <f>'[2]Теплофикационные режимы'!E50</f>
        <v>0</v>
      </c>
      <c r="Q23">
        <f>'[2]Теплофикационные режимы'!F50</f>
        <v>0</v>
      </c>
      <c r="R23" s="6">
        <f>'[2]Теплофикационные режимы'!G50</f>
        <v>0</v>
      </c>
      <c r="S23">
        <f>'[2]Теплофикационные режимы'!H50</f>
        <v>0</v>
      </c>
      <c r="T23">
        <f>'[2]Теплофикационные режимы'!I50</f>
        <v>0</v>
      </c>
      <c r="U23">
        <f>'[2]Теплофикационные режимы'!J50</f>
        <v>0</v>
      </c>
      <c r="V23">
        <f>'[2]Теплофикационные режимы'!K50</f>
        <v>0</v>
      </c>
      <c r="W23">
        <f>'[2]Теплофикационные режимы'!L50</f>
        <v>0</v>
      </c>
      <c r="X23">
        <f>'[2]Теплофикационные режимы'!M50</f>
        <v>0</v>
      </c>
      <c r="Y23">
        <f>'[2]Конденсационные режимы'!C172</f>
        <v>0</v>
      </c>
      <c r="Z23">
        <f>'[2]Конденсационные режимы'!D172</f>
        <v>0</v>
      </c>
      <c r="AA23">
        <f>'[2]Конденсационные режимы'!E172</f>
        <v>0</v>
      </c>
      <c r="AB23">
        <f>'[2]Конденсационные режимы'!F172</f>
        <v>0</v>
      </c>
      <c r="AC23">
        <f>'[2]Конденсационные режимы'!G172</f>
        <v>0</v>
      </c>
      <c r="AD23">
        <f>'[2]Конденсационные режимы'!H172</f>
        <v>0</v>
      </c>
      <c r="AE23">
        <f>'[2]Теплофикационные режимы'!C168</f>
        <v>0</v>
      </c>
      <c r="AF23">
        <f>'[2]Теплофикационные режимы'!D168</f>
        <v>0</v>
      </c>
      <c r="AG23">
        <f>'[2]Теплофикационные режимы'!E168</f>
        <v>0</v>
      </c>
      <c r="AH23">
        <f>'[2]Теплофикационные режимы'!F168</f>
        <v>0</v>
      </c>
      <c r="AI23">
        <f>'[2]Теплофикационные режимы'!G168</f>
        <v>0</v>
      </c>
      <c r="AJ23">
        <f>'[2]Теплофикационные режимы'!H168</f>
        <v>0</v>
      </c>
      <c r="AK23">
        <f>'[2]Конденсационные режимы'!C288</f>
        <v>0</v>
      </c>
      <c r="AL23">
        <f>'[2]Конденсационные режимы'!D288</f>
        <v>0</v>
      </c>
      <c r="AM23">
        <f>'[2]Конденсационные режимы'!E288</f>
        <v>0</v>
      </c>
      <c r="AN23">
        <f>'[2]Конденсационные режимы'!F288</f>
        <v>0</v>
      </c>
      <c r="AO23">
        <f>'[2]Конденсационные режимы'!G288</f>
        <v>0</v>
      </c>
      <c r="AP23">
        <f>'[2]Конденсационные режимы'!H288</f>
        <v>0</v>
      </c>
      <c r="AQ23">
        <f>'[2]Теплофикационные режимы'!C286</f>
        <v>0</v>
      </c>
      <c r="AR23">
        <f>'[2]Теплофикационные режимы'!D286</f>
        <v>0</v>
      </c>
      <c r="AS23">
        <f>'[2]Теплофикационные режимы'!E286</f>
        <v>0</v>
      </c>
      <c r="AT23">
        <f>'[2]Теплофикационные режимы'!F286</f>
        <v>0</v>
      </c>
      <c r="AU23">
        <f>'[2]Теплофикационные режимы'!G286</f>
        <v>0</v>
      </c>
      <c r="AV23">
        <f>'[2]Теплофикационные режимы'!H286</f>
        <v>0</v>
      </c>
    </row>
    <row r="24" spans="1:48" x14ac:dyDescent="0.35">
      <c r="A24" t="str">
        <f>'[2]Конденсационные режимы'!B55</f>
        <v>Расход, кг/с</v>
      </c>
      <c r="B24">
        <f>'[2]Конденсационные режимы'!C55</f>
        <v>76.72</v>
      </c>
      <c r="C24">
        <f>'[2]Конденсационные режимы'!D55</f>
        <v>76.5</v>
      </c>
      <c r="D24">
        <f>'[2]Конденсационные режимы'!E55</f>
        <v>78.17</v>
      </c>
      <c r="E24">
        <f>'[2]Конденсационные режимы'!F55</f>
        <v>79.33</v>
      </c>
      <c r="F24">
        <f>'[2]Конденсационные режимы'!G55</f>
        <v>80.61</v>
      </c>
      <c r="G24">
        <f>'[2]Конденсационные режимы'!H55</f>
        <v>79.62</v>
      </c>
      <c r="H24">
        <f>'[2]Конденсационные режимы'!I55</f>
        <v>79.52</v>
      </c>
      <c r="I24" s="4">
        <f>'[2]Конденсационные режимы'!J55</f>
        <v>78.16</v>
      </c>
      <c r="J24">
        <f>'[2]Конденсационные режимы'!K55</f>
        <v>76.819999999999993</v>
      </c>
      <c r="K24">
        <f>'[2]Конденсационные режимы'!L55</f>
        <v>76.86</v>
      </c>
      <c r="L24">
        <f>'[2]Конденсационные режимы'!M55</f>
        <v>72.94</v>
      </c>
      <c r="M24">
        <f>'[2]Конденсационные режимы'!N55</f>
        <v>72.94</v>
      </c>
      <c r="N24">
        <f>'[2]Теплофикационные режимы'!C51</f>
        <v>4.4400000000000004</v>
      </c>
      <c r="O24">
        <f>'[2]Теплофикационные режимы'!D51</f>
        <v>4.4400000000000004</v>
      </c>
      <c r="P24">
        <f>'[2]Теплофикационные режимы'!E51</f>
        <v>4.4400000000000004</v>
      </c>
      <c r="Q24">
        <f>'[2]Теплофикационные режимы'!F51</f>
        <v>4.4400000000000004</v>
      </c>
      <c r="R24" s="6">
        <f>'[2]Теплофикационные режимы'!G51</f>
        <v>4.4400000000000004</v>
      </c>
      <c r="S24">
        <f>'[2]Теплофикационные режимы'!H51</f>
        <v>4.4400000000000004</v>
      </c>
      <c r="T24">
        <f>'[2]Теплофикационные режимы'!I51</f>
        <v>4.4400000000000004</v>
      </c>
      <c r="U24">
        <f>'[2]Теплофикационные режимы'!J51</f>
        <v>4.4400000000000004</v>
      </c>
      <c r="V24">
        <f>'[2]Теплофикационные режимы'!K51</f>
        <v>4.4400000000000004</v>
      </c>
      <c r="W24">
        <f>'[2]Теплофикационные режимы'!L51</f>
        <v>29.53</v>
      </c>
      <c r="X24">
        <f>'[2]Теплофикационные режимы'!M51</f>
        <v>25.8</v>
      </c>
      <c r="Y24">
        <f>'[2]Конденсационные режимы'!C173</f>
        <v>64.25</v>
      </c>
      <c r="Z24">
        <f>'[2]Конденсационные режимы'!D173</f>
        <v>65.61</v>
      </c>
      <c r="AA24">
        <f>'[2]Конденсационные режимы'!E173</f>
        <v>67.81</v>
      </c>
      <c r="AB24">
        <f>'[2]Конденсационные режимы'!F173</f>
        <v>67.22</v>
      </c>
      <c r="AC24">
        <f>'[2]Конденсационные режимы'!G173</f>
        <v>64.89</v>
      </c>
      <c r="AD24">
        <f>'[2]Конденсационные режимы'!H173</f>
        <v>61.55</v>
      </c>
      <c r="AE24">
        <f>'[2]Теплофикационные режимы'!C169</f>
        <v>4.4400000000000004</v>
      </c>
      <c r="AF24">
        <f>'[2]Теплофикационные режимы'!D169</f>
        <v>4.4400000000000004</v>
      </c>
      <c r="AG24">
        <f>'[2]Теплофикационные режимы'!E169</f>
        <v>4.4400000000000004</v>
      </c>
      <c r="AH24">
        <f>'[2]Теплофикационные режимы'!F169</f>
        <v>4.4400000000000004</v>
      </c>
      <c r="AI24">
        <f>'[2]Теплофикационные режимы'!G169</f>
        <v>18.84</v>
      </c>
      <c r="AJ24">
        <f>'[2]Теплофикационные режимы'!H169</f>
        <v>16</v>
      </c>
      <c r="AK24">
        <f>'[2]Конденсационные режимы'!C289</f>
        <v>52.33</v>
      </c>
      <c r="AL24">
        <f>'[2]Конденсационные режимы'!D289</f>
        <v>53.5</v>
      </c>
      <c r="AM24">
        <f>'[2]Конденсационные режимы'!E289</f>
        <v>55.33</v>
      </c>
      <c r="AN24">
        <f>'[2]Конденсационные режимы'!F289</f>
        <v>55.17</v>
      </c>
      <c r="AO24">
        <f>'[2]Конденсационные режимы'!G289</f>
        <v>53.14</v>
      </c>
      <c r="AP24">
        <f>'[2]Конденсационные режимы'!H289</f>
        <v>50.25</v>
      </c>
      <c r="AQ24">
        <f>'[2]Теплофикационные режимы'!C287</f>
        <v>4.4400000000000004</v>
      </c>
      <c r="AR24">
        <f>'[2]Теплофикационные режимы'!D287</f>
        <v>4.4400000000000004</v>
      </c>
      <c r="AS24">
        <f>'[2]Теплофикационные режимы'!E287</f>
        <v>4.4400000000000004</v>
      </c>
      <c r="AT24">
        <f>'[2]Теплофикационные режимы'!F287</f>
        <v>4.4400000000000004</v>
      </c>
      <c r="AU24">
        <f>'[2]Теплофикационные режимы'!G287</f>
        <v>7.68</v>
      </c>
      <c r="AV24">
        <f>'[2]Теплофикационные режимы'!H287</f>
        <v>5.52</v>
      </c>
    </row>
    <row r="25" spans="1:48" x14ac:dyDescent="0.35">
      <c r="A25" t="str">
        <f>'[2]Конденсационные режимы'!B56</f>
        <v>Температура пара, °С</v>
      </c>
      <c r="B25">
        <f>'[2]Конденсационные режимы'!C56</f>
        <v>111.2</v>
      </c>
      <c r="C25">
        <f>'[2]Конденсационные режимы'!D56</f>
        <v>111.1</v>
      </c>
      <c r="D25">
        <f>'[2]Конденсационные режимы'!E56</f>
        <v>111.2</v>
      </c>
      <c r="E25">
        <f>'[2]Конденсационные режимы'!F56</f>
        <v>112.2</v>
      </c>
      <c r="F25">
        <f>'[2]Конденсационные режимы'!G56</f>
        <v>112.8</v>
      </c>
      <c r="G25">
        <f>'[2]Конденсационные режимы'!H56</f>
        <v>112.4</v>
      </c>
      <c r="H25">
        <f>'[2]Конденсационные режимы'!I56</f>
        <v>112.4</v>
      </c>
      <c r="I25" s="4">
        <f>'[2]Конденсационные режимы'!J56</f>
        <v>111.8</v>
      </c>
      <c r="J25">
        <f>'[2]Конденсационные режимы'!K56</f>
        <v>111.3</v>
      </c>
      <c r="K25">
        <f>'[2]Конденсационные режимы'!L56</f>
        <v>111.4</v>
      </c>
      <c r="L25">
        <f>'[2]Конденсационные режимы'!M56</f>
        <v>110.1</v>
      </c>
      <c r="M25">
        <f>'[2]Конденсационные режимы'!N56</f>
        <v>110.2</v>
      </c>
      <c r="N25">
        <f>'[2]Теплофикационные режимы'!C52</f>
        <v>89.57</v>
      </c>
      <c r="O25">
        <f>'[2]Теплофикационные режимы'!D52</f>
        <v>90.17</v>
      </c>
      <c r="P25">
        <f>'[2]Теплофикационные режимы'!E52</f>
        <v>74.319999999999993</v>
      </c>
      <c r="Q25">
        <f>'[2]Теплофикационные режимы'!F52</f>
        <v>42.9</v>
      </c>
      <c r="R25" s="6">
        <f>'[2]Теплофикационные режимы'!G52</f>
        <v>42.72</v>
      </c>
      <c r="S25">
        <f>'[2]Теплофикационные режимы'!H52</f>
        <v>42.7</v>
      </c>
      <c r="T25">
        <f>'[2]Теплофикационные режимы'!I52</f>
        <v>42.72</v>
      </c>
      <c r="U25">
        <f>'[2]Теплофикационные режимы'!J52</f>
        <v>45.8</v>
      </c>
      <c r="V25">
        <f>'[2]Теплофикационные режимы'!K52</f>
        <v>48</v>
      </c>
      <c r="W25">
        <f>'[2]Теплофикационные режимы'!L52</f>
        <v>83.56</v>
      </c>
      <c r="X25">
        <f>'[2]Теплофикационные режимы'!M52</f>
        <v>80.58</v>
      </c>
      <c r="Y25">
        <f>'[2]Конденсационные режимы'!C174</f>
        <v>93.4</v>
      </c>
      <c r="Z25">
        <f>'[2]Конденсационные режимы'!D174</f>
        <v>94</v>
      </c>
      <c r="AA25">
        <f>'[2]Конденсационные режимы'!E174</f>
        <v>95</v>
      </c>
      <c r="AB25">
        <f>'[2]Конденсационные режимы'!F174</f>
        <v>94.8</v>
      </c>
      <c r="AC25">
        <f>'[2]Конденсационные режимы'!G174</f>
        <v>93.9</v>
      </c>
      <c r="AD25">
        <f>'[2]Конденсационные режимы'!H174</f>
        <v>93</v>
      </c>
      <c r="AE25">
        <f>'[2]Теплофикационные режимы'!C170</f>
        <v>90.9</v>
      </c>
      <c r="AF25">
        <f>'[2]Теплофикационные режимы'!D170</f>
        <v>93.3</v>
      </c>
      <c r="AG25">
        <f>'[2]Теплофикационные режимы'!E170</f>
        <v>35.08</v>
      </c>
      <c r="AH25">
        <f>'[2]Теплофикационные режимы'!F170</f>
        <v>35.369999999999997</v>
      </c>
      <c r="AI25">
        <f>'[2]Теплофикационные режимы'!G170</f>
        <v>63</v>
      </c>
      <c r="AJ25">
        <f>'[2]Теплофикационные режимы'!H170</f>
        <v>61.89</v>
      </c>
      <c r="AK25">
        <f>'[2]Конденсационные режимы'!C290</f>
        <v>87.9</v>
      </c>
      <c r="AL25">
        <f>'[2]Конденсационные режимы'!D290</f>
        <v>88.5</v>
      </c>
      <c r="AM25">
        <f>'[2]Конденсационные режимы'!E290</f>
        <v>89.5</v>
      </c>
      <c r="AN25">
        <f>'[2]Конденсационные режимы'!F290</f>
        <v>89.4</v>
      </c>
      <c r="AO25">
        <f>'[2]Конденсационные режимы'!G290</f>
        <v>88.5</v>
      </c>
      <c r="AP25">
        <f>'[2]Конденсационные режимы'!H290</f>
        <v>87.6</v>
      </c>
      <c r="AQ25">
        <f>'[2]Теплофикационные режимы'!C288</f>
        <v>91.3</v>
      </c>
      <c r="AR25">
        <f>'[2]Теплофикационные режимы'!D288</f>
        <v>84.58</v>
      </c>
      <c r="AS25">
        <f>'[2]Теплофикационные режимы'!E288</f>
        <v>35.06</v>
      </c>
      <c r="AT25">
        <f>'[2]Теплофикационные режимы'!F288</f>
        <v>35.39</v>
      </c>
      <c r="AU25">
        <f>'[2]Теплофикационные режимы'!G288</f>
        <v>45.43</v>
      </c>
      <c r="AV25">
        <f>'[2]Теплофикационные режимы'!H288</f>
        <v>68.8</v>
      </c>
    </row>
    <row r="26" spans="1:48" x14ac:dyDescent="0.35">
      <c r="A26" t="str">
        <f>'[2]Конденсационные режимы'!B57</f>
        <v>Степень сухости пара/влажность пара , %</v>
      </c>
      <c r="B26">
        <v>-2.39</v>
      </c>
      <c r="C26">
        <v>-2.36</v>
      </c>
      <c r="D26">
        <v>-2.36</v>
      </c>
      <c r="E26">
        <v>-2.38</v>
      </c>
      <c r="F26">
        <v>-2.34</v>
      </c>
      <c r="G26">
        <v>-2.25</v>
      </c>
      <c r="H26">
        <v>-2.2400000000000002</v>
      </c>
      <c r="I26" s="4">
        <v>-1.89</v>
      </c>
      <c r="J26">
        <v>-1.9</v>
      </c>
      <c r="K26">
        <v>-1.9</v>
      </c>
      <c r="L26">
        <v>-1.23</v>
      </c>
      <c r="M26">
        <v>-1.2</v>
      </c>
      <c r="N26">
        <v>103.6</v>
      </c>
      <c r="O26">
        <v>103.7</v>
      </c>
      <c r="P26">
        <v>102.42</v>
      </c>
      <c r="Q26">
        <v>-0.21</v>
      </c>
      <c r="R26" s="6">
        <v>-2.62</v>
      </c>
      <c r="S26">
        <v>-2.85</v>
      </c>
      <c r="T26">
        <v>-4.76</v>
      </c>
      <c r="U26">
        <v>-4.84</v>
      </c>
      <c r="V26">
        <v>-5</v>
      </c>
      <c r="W26">
        <v>-5.57</v>
      </c>
      <c r="X26">
        <v>-4.5599999999999996</v>
      </c>
      <c r="Y26">
        <v>-3.5</v>
      </c>
      <c r="Z26">
        <v>-3.5</v>
      </c>
      <c r="AA26">
        <v>-3.5</v>
      </c>
      <c r="AB26">
        <v>-3.37</v>
      </c>
      <c r="AC26">
        <v>-3</v>
      </c>
      <c r="AD26">
        <v>-2.37</v>
      </c>
      <c r="AE26">
        <v>104.3</v>
      </c>
      <c r="AF26">
        <v>104.5</v>
      </c>
      <c r="AG26">
        <v>-0.14000000000000001</v>
      </c>
      <c r="AH26">
        <v>-2.0699999999999998</v>
      </c>
      <c r="AI26">
        <v>-2.46</v>
      </c>
      <c r="AJ26">
        <v>-1.35</v>
      </c>
      <c r="AK26">
        <v>-2.75</v>
      </c>
      <c r="AL26">
        <v>-2.72</v>
      </c>
      <c r="AM26">
        <v>-2.68</v>
      </c>
      <c r="AN26">
        <v>-2.61</v>
      </c>
      <c r="AO26">
        <v>-2.62</v>
      </c>
      <c r="AP26">
        <v>-1.63</v>
      </c>
      <c r="AQ26">
        <v>104.3</v>
      </c>
      <c r="AR26">
        <v>103.8</v>
      </c>
      <c r="AS26">
        <v>-0.34</v>
      </c>
      <c r="AT26">
        <v>-1.81</v>
      </c>
      <c r="AU26">
        <v>-0.44</v>
      </c>
      <c r="AV26">
        <v>101.7</v>
      </c>
    </row>
    <row r="27" spans="1:48" x14ac:dyDescent="0.35">
      <c r="A27" t="str">
        <f>'[2]Конденсационные режимы'!B63</f>
        <v>Пар после ЦНД:</v>
      </c>
      <c r="I27" s="4"/>
      <c r="Y27">
        <f>'[2]Конденсационные режимы'!C176</f>
        <v>0</v>
      </c>
      <c r="Z27">
        <f>'[2]Конденсационные режимы'!D176</f>
        <v>0</v>
      </c>
      <c r="AA27">
        <f>'[2]Конденсационные режимы'!E176</f>
        <v>0</v>
      </c>
      <c r="AB27">
        <f>'[2]Конденсационные режимы'!F176</f>
        <v>0</v>
      </c>
      <c r="AC27">
        <f>'[2]Конденсационные режимы'!G176</f>
        <v>0</v>
      </c>
      <c r="AD27">
        <f>'[2]Конденсационные режимы'!H176</f>
        <v>0</v>
      </c>
      <c r="AK27">
        <f>'[2]Конденсационные режимы'!C292</f>
        <v>0</v>
      </c>
      <c r="AL27">
        <f>'[2]Конденсационные режимы'!D292</f>
        <v>0</v>
      </c>
      <c r="AM27">
        <f>'[2]Конденсационные режимы'!E292</f>
        <v>0</v>
      </c>
      <c r="AN27">
        <f>'[2]Конденсационные режимы'!F292</f>
        <v>0</v>
      </c>
      <c r="AO27">
        <f>'[2]Конденсационные режимы'!G292</f>
        <v>0</v>
      </c>
      <c r="AP27">
        <f>'[2]Конденсационные режимы'!H292</f>
        <v>0</v>
      </c>
    </row>
    <row r="28" spans="1:48" x14ac:dyDescent="0.35">
      <c r="A28" t="str">
        <f>'[2]Конденсационные режимы'!B64</f>
        <v>Расход, кг/с</v>
      </c>
      <c r="B28">
        <f>'[2]Конденсационные режимы'!C64</f>
        <v>76.73</v>
      </c>
      <c r="C28">
        <f>'[2]Конденсационные режимы'!D64</f>
        <v>76.489999999999995</v>
      </c>
      <c r="D28">
        <f>'[2]Конденсационные режимы'!E64</f>
        <v>78.17</v>
      </c>
      <c r="E28">
        <f>'[2]Конденсационные режимы'!F64</f>
        <v>79.33</v>
      </c>
      <c r="F28">
        <f>'[2]Конденсационные режимы'!G64</f>
        <v>80.61</v>
      </c>
      <c r="G28">
        <f>'[2]Конденсационные режимы'!H64</f>
        <v>79.62</v>
      </c>
      <c r="H28">
        <f>'[2]Конденсационные режимы'!I64</f>
        <v>79.52</v>
      </c>
      <c r="I28" s="4">
        <f>'[2]Конденсационные режимы'!J64</f>
        <v>78.16</v>
      </c>
      <c r="J28">
        <f>'[2]Конденсационные режимы'!K64</f>
        <v>76.819999999999993</v>
      </c>
      <c r="K28">
        <f>'[2]Конденсационные режимы'!L64</f>
        <v>76.86</v>
      </c>
      <c r="L28">
        <f>'[2]Конденсационные режимы'!M64</f>
        <v>72.94</v>
      </c>
      <c r="M28">
        <f>'[2]Конденсационные режимы'!N64</f>
        <v>72.94</v>
      </c>
      <c r="N28">
        <f>'[2]Теплофикационные режимы'!C60</f>
        <v>4.4400000000000004</v>
      </c>
      <c r="O28">
        <f>'[2]Теплофикационные режимы'!D60</f>
        <v>4.4400000000000004</v>
      </c>
      <c r="P28">
        <f>'[2]Теплофикационные режимы'!E60</f>
        <v>4.4400000000000004</v>
      </c>
      <c r="Q28">
        <f>'[2]Теплофикационные режимы'!F60</f>
        <v>4.4400000000000004</v>
      </c>
      <c r="R28" s="6">
        <f>'[2]Теплофикационные режимы'!G60</f>
        <v>4.4400000000000004</v>
      </c>
      <c r="S28">
        <f>'[2]Теплофикационные режимы'!H60</f>
        <v>4.4400000000000004</v>
      </c>
      <c r="T28">
        <f>'[2]Теплофикационные режимы'!I60</f>
        <v>4.4400000000000004</v>
      </c>
      <c r="U28">
        <f>'[2]Теплофикационные режимы'!J60</f>
        <v>4.4400000000000004</v>
      </c>
      <c r="V28">
        <f>'[2]Теплофикационные режимы'!K60</f>
        <v>4.4400000000000004</v>
      </c>
      <c r="W28">
        <f>'[2]Теплофикационные режимы'!L60</f>
        <v>29.53</v>
      </c>
      <c r="X28">
        <f>'[2]Теплофикационные режимы'!M60</f>
        <v>25.8</v>
      </c>
      <c r="Y28">
        <f>'[2]Конденсационные режимы'!C177</f>
        <v>64.25</v>
      </c>
      <c r="Z28">
        <f>'[2]Конденсационные режимы'!D177</f>
        <v>65.61</v>
      </c>
      <c r="AA28">
        <f>'[2]Конденсационные режимы'!E177</f>
        <v>67.81</v>
      </c>
      <c r="AB28">
        <f>'[2]Конденсационные режимы'!F177</f>
        <v>67.22</v>
      </c>
      <c r="AC28">
        <f>'[2]Конденсационные режимы'!G177</f>
        <v>64.89</v>
      </c>
      <c r="AD28">
        <f>'[2]Конденсационные режимы'!H177</f>
        <v>61.55</v>
      </c>
      <c r="AE28">
        <f>'[2]Теплофикационные режимы'!C178</f>
        <v>4.4400000000000004</v>
      </c>
      <c r="AF28">
        <f>'[2]Теплофикационные режимы'!D178</f>
        <v>4.4400000000000004</v>
      </c>
      <c r="AG28">
        <f>'[2]Теплофикационные режимы'!E178</f>
        <v>4.4400000000000004</v>
      </c>
      <c r="AH28">
        <f>'[2]Теплофикационные режимы'!F178</f>
        <v>4.4400000000000004</v>
      </c>
      <c r="AI28">
        <f>'[2]Теплофикационные режимы'!G178</f>
        <v>18.84</v>
      </c>
      <c r="AJ28">
        <f>'[2]Теплофикационные режимы'!H178</f>
        <v>16</v>
      </c>
      <c r="AK28">
        <f>'[2]Конденсационные режимы'!C293</f>
        <v>52.3</v>
      </c>
      <c r="AL28">
        <f>'[2]Конденсационные режимы'!D293</f>
        <v>53.5</v>
      </c>
      <c r="AM28">
        <f>'[2]Конденсационные режимы'!E293</f>
        <v>55.33</v>
      </c>
      <c r="AN28">
        <f>'[2]Конденсационные режимы'!F293</f>
        <v>55.17</v>
      </c>
      <c r="AO28">
        <f>'[2]Конденсационные режимы'!G293</f>
        <v>53.14</v>
      </c>
      <c r="AP28">
        <f>'[2]Конденсационные режимы'!H293</f>
        <v>50.25</v>
      </c>
      <c r="AQ28">
        <f>'[2]Теплофикационные режимы'!C296</f>
        <v>4.4400000000000004</v>
      </c>
      <c r="AR28">
        <f>'[2]Теплофикационные режимы'!D296</f>
        <v>4.4400000000000004</v>
      </c>
      <c r="AS28">
        <f>'[2]Теплофикационные режимы'!E296</f>
        <v>4.4400000000000004</v>
      </c>
      <c r="AT28">
        <f>'[2]Теплофикационные режимы'!F296</f>
        <v>4.4400000000000004</v>
      </c>
      <c r="AU28">
        <f>'[2]Теплофикационные режимы'!G296</f>
        <v>7.68</v>
      </c>
      <c r="AV28">
        <f>'[2]Теплофикационные режимы'!H296</f>
        <v>5.52</v>
      </c>
    </row>
    <row r="29" spans="1:48" x14ac:dyDescent="0.35">
      <c r="A29" t="str">
        <f>'[2]Конденсационные режимы'!B65</f>
        <v>Давление пара, МПа</v>
      </c>
      <c r="B29">
        <f>'[2]Конденсационные режимы'!C65</f>
        <v>7.0000000000000001E-3</v>
      </c>
      <c r="C29">
        <f>'[2]Конденсационные режимы'!D65</f>
        <v>6.8999999999999999E-3</v>
      </c>
      <c r="D29">
        <f>'[2]Конденсационные режимы'!E65</f>
        <v>8.3999999999999995E-3</v>
      </c>
      <c r="E29">
        <f>'[2]Конденсационные режимы'!F65</f>
        <v>8.5000000000000006E-3</v>
      </c>
      <c r="F29">
        <f>'[2]Конденсационные режимы'!G65</f>
        <v>0.01</v>
      </c>
      <c r="G29">
        <f>'[2]Конденсационные режимы'!H65</f>
        <v>1.06E-2</v>
      </c>
      <c r="H29">
        <f>'[2]Конденсационные режимы'!I65</f>
        <v>1.06E-2</v>
      </c>
      <c r="I29" s="4">
        <f>'[2]Конденсационные режимы'!J65</f>
        <v>8.0000000000000002E-3</v>
      </c>
      <c r="J29">
        <f>'[2]Конденсационные режимы'!K65</f>
        <v>0.01</v>
      </c>
      <c r="K29">
        <f>'[2]Конденсационные режимы'!L65</f>
        <v>1.32E-2</v>
      </c>
      <c r="L29">
        <f>'[2]Конденсационные режимы'!M65</f>
        <v>0.02</v>
      </c>
      <c r="M29">
        <f>'[2]Конденсационные режимы'!N65</f>
        <v>2.52E-2</v>
      </c>
      <c r="N29">
        <f>'[2]Теплофикационные режимы'!C61</f>
        <v>3.3999999999999998E-3</v>
      </c>
      <c r="O29">
        <f>'[2]Теплофикационные режимы'!D61</f>
        <v>3.3999999999999998E-3</v>
      </c>
      <c r="P29">
        <f>'[2]Теплофикационные режимы'!E61</f>
        <v>3.3999999999999998E-3</v>
      </c>
      <c r="Q29">
        <f>'[2]Теплофикационные режимы'!F61</f>
        <v>3.3999999999999998E-3</v>
      </c>
      <c r="R29" s="6">
        <f>'[2]Теплофикационные режимы'!G61</f>
        <v>3.3999999999999998E-3</v>
      </c>
      <c r="S29">
        <f>'[2]Теплофикационные режимы'!H61</f>
        <v>3.3999999999999998E-3</v>
      </c>
      <c r="T29">
        <f>'[2]Теплофикационные режимы'!I61</f>
        <v>3.5999999999999999E-3</v>
      </c>
      <c r="U29">
        <f>'[2]Теплофикационные режимы'!J61</f>
        <v>6.3E-3</v>
      </c>
      <c r="V29">
        <f>'[2]Теплофикационные режимы'!K61</f>
        <v>8.2000000000000007E-3</v>
      </c>
      <c r="W29">
        <f>'[2]Теплофикационные режимы'!L61</f>
        <v>6.1000000000000004E-3</v>
      </c>
      <c r="X29">
        <f>'[2]Теплофикационные режимы'!M61</f>
        <v>9.7000000000000003E-3</v>
      </c>
      <c r="Y29">
        <f>'[2]Конденсационные режимы'!C178</f>
        <v>6.0000000000000001E-3</v>
      </c>
      <c r="Z29">
        <f>'[2]Конденсационные режимы'!D178</f>
        <v>7.0000000000000001E-3</v>
      </c>
      <c r="AA29">
        <f>'[2]Конденсационные режимы'!E178</f>
        <v>8.0000000000000002E-3</v>
      </c>
      <c r="AB29">
        <f>'[2]Конденсационные режимы'!F178</f>
        <v>8.9999999999999993E-3</v>
      </c>
      <c r="AC29">
        <f>'[2]Конденсационные режимы'!G178</f>
        <v>1.0999999999999999E-2</v>
      </c>
      <c r="AD29">
        <f>'[2]Конденсационные режимы'!H178</f>
        <v>1.7000000000000001E-2</v>
      </c>
      <c r="AE29">
        <f>'[2]Теплофикационные режимы'!C179</f>
        <v>1.8E-3</v>
      </c>
      <c r="AF29">
        <f>'[2]Теплофикационные режимы'!D179</f>
        <v>2.0999999999999999E-3</v>
      </c>
      <c r="AG29">
        <f>'[2]Теплофикационные режимы'!E179</f>
        <v>2.3999999999999998E-3</v>
      </c>
      <c r="AH29">
        <f>'[2]Теплофикационные режимы'!F179</f>
        <v>2.7000000000000001E-3</v>
      </c>
      <c r="AI29">
        <f>'[2]Теплофикационные режимы'!G179</f>
        <v>5.0000000000000001E-3</v>
      </c>
      <c r="AJ29">
        <f>'[2]Теплофикационные режимы'!H179</f>
        <v>1.06E-2</v>
      </c>
      <c r="AK29">
        <f>'[2]Конденсационные режимы'!C294</f>
        <v>4.7999999999999996E-3</v>
      </c>
      <c r="AL29">
        <f>'[2]Конденсационные режимы'!D294</f>
        <v>5.7000000000000002E-3</v>
      </c>
      <c r="AM29">
        <f>'[2]Конденсационные режимы'!E294</f>
        <v>6.6E-3</v>
      </c>
      <c r="AN29">
        <f>'[2]Конденсационные режимы'!F294</f>
        <v>7.3000000000000001E-3</v>
      </c>
      <c r="AO29">
        <f>'[2]Конденсационные режимы'!G294</f>
        <v>9.1999999999999998E-3</v>
      </c>
      <c r="AP29">
        <f>'[2]Конденсационные режимы'!H294</f>
        <v>1.47E-2</v>
      </c>
      <c r="AQ29">
        <f>'[2]Теплофикационные режимы'!C297</f>
        <v>1.6999999999999999E-3</v>
      </c>
      <c r="AR29">
        <f>'[2]Теплофикационные режимы'!D297</f>
        <v>2.0999999999999999E-3</v>
      </c>
      <c r="AS29">
        <f>'[2]Теплофикационные режимы'!E297</f>
        <v>2.3999999999999998E-3</v>
      </c>
      <c r="AT29">
        <f>'[2]Теплофикационные режимы'!F297</f>
        <v>2.7000000000000001E-3</v>
      </c>
      <c r="AU29">
        <f>'[2]Теплофикационные режимы'!G297</f>
        <v>3.8999999999999998E-3</v>
      </c>
      <c r="AV29">
        <f>'[2]Теплофикационные режимы'!H297</f>
        <v>8.5000000000000006E-3</v>
      </c>
    </row>
    <row r="30" spans="1:48" x14ac:dyDescent="0.35">
      <c r="A30" t="str">
        <f>'[2]Конденсационные режимы'!B66</f>
        <v>Степень сухости пара/влажность пара , %</v>
      </c>
      <c r="B30">
        <v>-10.27</v>
      </c>
      <c r="C30">
        <v>-10.25</v>
      </c>
      <c r="D30">
        <v>-10.039999999999999</v>
      </c>
      <c r="E30">
        <v>-9.9499999999999993</v>
      </c>
      <c r="F30">
        <v>-9.73</v>
      </c>
      <c r="G30">
        <v>-9.4600000000000009</v>
      </c>
      <c r="H30">
        <v>-9.4499999999999993</v>
      </c>
      <c r="I30" s="4">
        <v>-9.7799999999999994</v>
      </c>
      <c r="J30">
        <v>-9.1999999999999993</v>
      </c>
      <c r="K30">
        <v>-8.68</v>
      </c>
      <c r="L30">
        <v>-7.1</v>
      </c>
      <c r="M30">
        <v>-6.52</v>
      </c>
      <c r="N30">
        <v>100.3</v>
      </c>
      <c r="O30">
        <v>100.3</v>
      </c>
      <c r="P30">
        <v>-0.65</v>
      </c>
      <c r="Q30">
        <v>-2.96</v>
      </c>
      <c r="R30" s="6">
        <v>-5.12</v>
      </c>
      <c r="S30">
        <v>-5.32</v>
      </c>
      <c r="T30">
        <v>-7.93</v>
      </c>
      <c r="U30">
        <v>-6.04</v>
      </c>
      <c r="V30">
        <v>-5.9</v>
      </c>
      <c r="W30">
        <v>-10.69</v>
      </c>
      <c r="X30">
        <v>-8.65</v>
      </c>
      <c r="Y30">
        <v>-10</v>
      </c>
      <c r="Z30">
        <v>-9.6999999999999993</v>
      </c>
      <c r="AA30">
        <v>-9.5</v>
      </c>
      <c r="AB30">
        <v>-9.1999999999999993</v>
      </c>
      <c r="AC30">
        <v>-8.4</v>
      </c>
      <c r="AD30">
        <v>-6.7</v>
      </c>
      <c r="AE30">
        <v>100.2</v>
      </c>
      <c r="AF30">
        <v>100.8</v>
      </c>
      <c r="AG30">
        <v>-2.68</v>
      </c>
      <c r="AH30">
        <v>-4.18</v>
      </c>
      <c r="AI30">
        <v>-6.56</v>
      </c>
      <c r="AJ30">
        <v>-3.82</v>
      </c>
      <c r="AK30">
        <v>-9.27</v>
      </c>
      <c r="AL30">
        <v>-8.92</v>
      </c>
      <c r="AM30">
        <v>-8.68</v>
      </c>
      <c r="AN30">
        <v>-8.4</v>
      </c>
      <c r="AO30">
        <v>-7.94</v>
      </c>
      <c r="AP30">
        <v>-5.87</v>
      </c>
      <c r="AQ30">
        <v>100.3</v>
      </c>
      <c r="AR30">
        <v>100.4</v>
      </c>
      <c r="AS30">
        <v>-2.82</v>
      </c>
      <c r="AT30">
        <v>-3.91</v>
      </c>
      <c r="AU30">
        <v>-3.11</v>
      </c>
      <c r="AV30">
        <v>101.1</v>
      </c>
    </row>
    <row r="31" spans="1:48" x14ac:dyDescent="0.35">
      <c r="I31" s="4"/>
    </row>
    <row r="32" spans="1:48" x14ac:dyDescent="0.35">
      <c r="A32" t="s">
        <v>94</v>
      </c>
      <c r="I32" s="4"/>
    </row>
    <row r="33" spans="1:95" x14ac:dyDescent="0.35">
      <c r="A33" t="s">
        <v>95</v>
      </c>
      <c r="B33">
        <f>B4</f>
        <v>61.51</v>
      </c>
      <c r="I33" s="4"/>
    </row>
    <row r="34" spans="1:95" x14ac:dyDescent="0.35">
      <c r="A34" t="s">
        <v>96</v>
      </c>
      <c r="B34">
        <f>B6</f>
        <v>493.8</v>
      </c>
      <c r="I34" s="4"/>
    </row>
    <row r="35" spans="1:95" x14ac:dyDescent="0.35">
      <c r="A35" t="s">
        <v>97</v>
      </c>
      <c r="B35">
        <f>B5</f>
        <v>7.4930000000000003</v>
      </c>
      <c r="I35" s="4"/>
    </row>
    <row r="36" spans="1:95" x14ac:dyDescent="0.35">
      <c r="B36">
        <v>1</v>
      </c>
      <c r="C36">
        <v>2</v>
      </c>
      <c r="D36">
        <v>3</v>
      </c>
      <c r="E36">
        <v>4</v>
      </c>
      <c r="F36">
        <v>5</v>
      </c>
      <c r="G36">
        <v>6</v>
      </c>
      <c r="H36">
        <v>7</v>
      </c>
      <c r="I36" s="4">
        <v>8</v>
      </c>
      <c r="J36">
        <v>9</v>
      </c>
      <c r="K36">
        <v>10</v>
      </c>
      <c r="L36">
        <v>11</v>
      </c>
      <c r="M36">
        <v>12</v>
      </c>
      <c r="N36">
        <v>13</v>
      </c>
      <c r="O36">
        <v>14</v>
      </c>
      <c r="P36">
        <v>15</v>
      </c>
      <c r="Q36">
        <v>16</v>
      </c>
      <c r="R36" s="6">
        <v>17</v>
      </c>
      <c r="S36">
        <v>18</v>
      </c>
      <c r="T36">
        <v>19</v>
      </c>
      <c r="U36">
        <v>20</v>
      </c>
      <c r="V36">
        <v>21</v>
      </c>
      <c r="W36">
        <v>22</v>
      </c>
      <c r="X36">
        <v>23</v>
      </c>
      <c r="Y36">
        <v>24</v>
      </c>
      <c r="Z36">
        <v>25</v>
      </c>
      <c r="AA36">
        <v>26</v>
      </c>
      <c r="AB36">
        <v>27</v>
      </c>
      <c r="AC36">
        <v>28</v>
      </c>
      <c r="AD36">
        <v>29</v>
      </c>
      <c r="AE36">
        <v>30</v>
      </c>
      <c r="AF36">
        <v>31</v>
      </c>
      <c r="AG36">
        <v>32</v>
      </c>
      <c r="AH36">
        <v>33</v>
      </c>
      <c r="AI36">
        <v>34</v>
      </c>
      <c r="AJ36">
        <v>35</v>
      </c>
      <c r="AK36">
        <v>36</v>
      </c>
      <c r="AL36">
        <v>37</v>
      </c>
      <c r="AM36">
        <v>38</v>
      </c>
      <c r="AN36">
        <v>39</v>
      </c>
      <c r="AO36">
        <v>40</v>
      </c>
      <c r="AP36">
        <v>41</v>
      </c>
      <c r="AQ36">
        <v>42</v>
      </c>
      <c r="AR36">
        <v>43</v>
      </c>
      <c r="AS36">
        <v>44</v>
      </c>
      <c r="AT36">
        <v>45</v>
      </c>
      <c r="AU36">
        <v>46</v>
      </c>
      <c r="AV36">
        <v>47</v>
      </c>
      <c r="AW36">
        <v>1</v>
      </c>
      <c r="AX36">
        <v>2</v>
      </c>
      <c r="AY36">
        <v>3</v>
      </c>
      <c r="AZ36">
        <v>4</v>
      </c>
      <c r="BA36">
        <v>5</v>
      </c>
      <c r="BB36">
        <v>6</v>
      </c>
      <c r="BC36">
        <v>7</v>
      </c>
      <c r="BD36">
        <v>8</v>
      </c>
      <c r="BE36">
        <v>9</v>
      </c>
      <c r="BF36">
        <v>10</v>
      </c>
      <c r="BG36">
        <v>11</v>
      </c>
      <c r="BH36">
        <v>12</v>
      </c>
      <c r="BI36">
        <v>13</v>
      </c>
      <c r="BJ36">
        <v>14</v>
      </c>
      <c r="BK36">
        <v>15</v>
      </c>
      <c r="BL36">
        <v>16</v>
      </c>
      <c r="BM36">
        <v>17</v>
      </c>
      <c r="BN36">
        <v>18</v>
      </c>
      <c r="BO36">
        <v>19</v>
      </c>
      <c r="BP36">
        <v>20</v>
      </c>
      <c r="BQ36">
        <v>21</v>
      </c>
      <c r="BR36">
        <v>22</v>
      </c>
      <c r="BS36">
        <v>23</v>
      </c>
      <c r="BT36">
        <v>24</v>
      </c>
      <c r="BU36">
        <v>25</v>
      </c>
      <c r="BV36">
        <v>26</v>
      </c>
      <c r="BW36">
        <v>27</v>
      </c>
      <c r="BX36">
        <v>28</v>
      </c>
      <c r="BY36">
        <v>29</v>
      </c>
      <c r="BZ36">
        <v>30</v>
      </c>
      <c r="CA36">
        <v>31</v>
      </c>
      <c r="CB36">
        <v>32</v>
      </c>
      <c r="CC36">
        <v>33</v>
      </c>
      <c r="CD36">
        <v>34</v>
      </c>
      <c r="CE36">
        <v>35</v>
      </c>
      <c r="CF36">
        <v>36</v>
      </c>
      <c r="CG36">
        <v>37</v>
      </c>
      <c r="CH36">
        <v>38</v>
      </c>
      <c r="CI36">
        <v>39</v>
      </c>
      <c r="CJ36">
        <v>40</v>
      </c>
      <c r="CK36">
        <v>41</v>
      </c>
      <c r="CL36">
        <v>42</v>
      </c>
      <c r="CM36">
        <v>43</v>
      </c>
      <c r="CN36">
        <v>44</v>
      </c>
      <c r="CO36">
        <v>45</v>
      </c>
      <c r="CP36">
        <v>46</v>
      </c>
      <c r="CQ36">
        <v>47</v>
      </c>
    </row>
    <row r="37" spans="1:95" x14ac:dyDescent="0.35">
      <c r="A37" t="s">
        <v>98</v>
      </c>
      <c r="I37" s="4"/>
    </row>
    <row r="38" spans="1:95" x14ac:dyDescent="0.35">
      <c r="A38" t="s">
        <v>95</v>
      </c>
      <c r="B38">
        <f>B12</f>
        <v>76.72</v>
      </c>
      <c r="C38">
        <f t="shared" ref="C38:V38" si="0">C12</f>
        <v>76.5</v>
      </c>
      <c r="D38">
        <f t="shared" si="0"/>
        <v>78.17</v>
      </c>
      <c r="E38">
        <f t="shared" si="0"/>
        <v>79.33</v>
      </c>
      <c r="F38">
        <f t="shared" si="0"/>
        <v>80.61</v>
      </c>
      <c r="G38">
        <f t="shared" si="0"/>
        <v>79.62</v>
      </c>
      <c r="H38">
        <f t="shared" si="0"/>
        <v>79.52</v>
      </c>
      <c r="I38" s="4">
        <f t="shared" si="0"/>
        <v>78.16</v>
      </c>
      <c r="J38">
        <f t="shared" si="0"/>
        <v>76.819999999999993</v>
      </c>
      <c r="K38">
        <f t="shared" si="0"/>
        <v>76.86</v>
      </c>
      <c r="L38">
        <f t="shared" si="0"/>
        <v>72.94</v>
      </c>
      <c r="M38">
        <f t="shared" si="0"/>
        <v>72.94</v>
      </c>
      <c r="N38">
        <f t="shared" si="0"/>
        <v>76.53</v>
      </c>
      <c r="O38">
        <f t="shared" si="0"/>
        <v>78.22</v>
      </c>
      <c r="P38">
        <f t="shared" si="0"/>
        <v>79.489999999999995</v>
      </c>
      <c r="Q38">
        <f t="shared" si="0"/>
        <v>80.95</v>
      </c>
      <c r="R38" s="6">
        <f t="shared" si="0"/>
        <v>80.02</v>
      </c>
      <c r="S38">
        <f t="shared" si="0"/>
        <v>79.930000000000007</v>
      </c>
      <c r="T38">
        <f t="shared" si="0"/>
        <v>77.040000000000006</v>
      </c>
      <c r="U38">
        <f t="shared" si="0"/>
        <v>72.87</v>
      </c>
      <c r="V38">
        <f t="shared" si="0"/>
        <v>72.88</v>
      </c>
      <c r="W38">
        <f t="shared" ref="W38:AV38" si="1">W12</f>
        <v>76.739999999999995</v>
      </c>
      <c r="X38">
        <f t="shared" si="1"/>
        <v>72.59</v>
      </c>
      <c r="Y38">
        <f t="shared" si="1"/>
        <v>64.25</v>
      </c>
      <c r="Z38">
        <f t="shared" si="1"/>
        <v>65.61</v>
      </c>
      <c r="AA38">
        <f t="shared" si="1"/>
        <v>67.81</v>
      </c>
      <c r="AB38">
        <f t="shared" si="1"/>
        <v>67.22</v>
      </c>
      <c r="AC38">
        <f t="shared" si="1"/>
        <v>64.89</v>
      </c>
      <c r="AD38">
        <f t="shared" si="1"/>
        <v>61.55</v>
      </c>
      <c r="AE38">
        <f t="shared" si="1"/>
        <v>64.22</v>
      </c>
      <c r="AF38">
        <f t="shared" si="1"/>
        <v>65.58</v>
      </c>
      <c r="AG38">
        <f t="shared" si="1"/>
        <v>68.03</v>
      </c>
      <c r="AH38">
        <f t="shared" si="1"/>
        <v>67.5</v>
      </c>
      <c r="AI38">
        <f t="shared" si="1"/>
        <v>64.92</v>
      </c>
      <c r="AJ38">
        <f t="shared" si="1"/>
        <v>61.55</v>
      </c>
      <c r="AK38">
        <f t="shared" si="1"/>
        <v>52.33</v>
      </c>
      <c r="AL38">
        <f t="shared" si="1"/>
        <v>53.5</v>
      </c>
      <c r="AM38">
        <f t="shared" si="1"/>
        <v>55.33</v>
      </c>
      <c r="AN38">
        <f t="shared" si="1"/>
        <v>55.2</v>
      </c>
      <c r="AO38">
        <f t="shared" si="1"/>
        <v>53.14</v>
      </c>
      <c r="AP38">
        <f t="shared" si="1"/>
        <v>50.25</v>
      </c>
      <c r="AQ38">
        <f t="shared" si="1"/>
        <v>52.33</v>
      </c>
      <c r="AR38">
        <f t="shared" si="1"/>
        <v>53.5</v>
      </c>
      <c r="AS38">
        <f t="shared" si="1"/>
        <v>55.33</v>
      </c>
      <c r="AT38">
        <f t="shared" si="1"/>
        <v>55.2</v>
      </c>
      <c r="AU38">
        <f t="shared" si="1"/>
        <v>53.14</v>
      </c>
      <c r="AV38">
        <f t="shared" si="1"/>
        <v>50.25</v>
      </c>
    </row>
    <row r="39" spans="1:95" x14ac:dyDescent="0.35">
      <c r="A39" t="s">
        <v>96</v>
      </c>
      <c r="B39">
        <f>B14</f>
        <v>191.6</v>
      </c>
      <c r="C39">
        <f t="shared" ref="C39:V39" si="2">C14</f>
        <v>191.9</v>
      </c>
      <c r="D39">
        <f t="shared" si="2"/>
        <v>192.8</v>
      </c>
      <c r="E39">
        <f t="shared" si="2"/>
        <v>193.3</v>
      </c>
      <c r="F39">
        <f t="shared" si="2"/>
        <v>194.4</v>
      </c>
      <c r="G39">
        <f t="shared" si="2"/>
        <v>195.1</v>
      </c>
      <c r="H39">
        <f t="shared" si="2"/>
        <v>195.2</v>
      </c>
      <c r="I39" s="4">
        <f t="shared" si="2"/>
        <v>197.8</v>
      </c>
      <c r="J39">
        <f t="shared" si="2"/>
        <v>198</v>
      </c>
      <c r="K39">
        <f t="shared" si="2"/>
        <v>198</v>
      </c>
      <c r="L39">
        <f t="shared" si="2"/>
        <v>204.7</v>
      </c>
      <c r="M39">
        <f t="shared" si="2"/>
        <v>204.6</v>
      </c>
      <c r="N39">
        <f t="shared" si="2"/>
        <v>190.7</v>
      </c>
      <c r="O39">
        <f t="shared" si="2"/>
        <v>191.3</v>
      </c>
      <c r="P39">
        <f t="shared" si="2"/>
        <v>190.2</v>
      </c>
      <c r="Q39">
        <f t="shared" si="2"/>
        <v>188.4</v>
      </c>
      <c r="R39" s="6">
        <f t="shared" si="2"/>
        <v>188</v>
      </c>
      <c r="S39">
        <f t="shared" si="2"/>
        <v>188</v>
      </c>
      <c r="T39">
        <f t="shared" si="2"/>
        <v>189.9</v>
      </c>
      <c r="U39">
        <f t="shared" si="2"/>
        <v>195.68</v>
      </c>
      <c r="V39">
        <f t="shared" si="2"/>
        <v>195.68</v>
      </c>
      <c r="W39">
        <f t="shared" ref="W39:AV39" si="3">W14</f>
        <v>194.9</v>
      </c>
      <c r="X39">
        <f t="shared" si="3"/>
        <v>201</v>
      </c>
      <c r="Y39">
        <f t="shared" si="3"/>
        <v>191.7</v>
      </c>
      <c r="Z39">
        <f t="shared" si="3"/>
        <v>192.8</v>
      </c>
      <c r="AA39">
        <f t="shared" si="3"/>
        <v>194.4</v>
      </c>
      <c r="AB39">
        <f t="shared" si="3"/>
        <v>195.3</v>
      </c>
      <c r="AC39">
        <f t="shared" si="3"/>
        <v>198.3</v>
      </c>
      <c r="AD39">
        <f t="shared" si="3"/>
        <v>205.1</v>
      </c>
      <c r="AE39">
        <f t="shared" si="3"/>
        <v>192.1</v>
      </c>
      <c r="AF39">
        <f t="shared" si="3"/>
        <v>193.5</v>
      </c>
      <c r="AG39">
        <f t="shared" si="3"/>
        <v>190.2</v>
      </c>
      <c r="AH39">
        <f t="shared" si="3"/>
        <v>190</v>
      </c>
      <c r="AI39">
        <f t="shared" si="3"/>
        <v>197.7</v>
      </c>
      <c r="AJ39">
        <f t="shared" si="3"/>
        <v>204.4</v>
      </c>
      <c r="AK39">
        <f t="shared" si="3"/>
        <v>191.9</v>
      </c>
      <c r="AL39">
        <f t="shared" si="3"/>
        <v>193.2</v>
      </c>
      <c r="AM39">
        <f t="shared" si="3"/>
        <v>195.2</v>
      </c>
      <c r="AN39">
        <f t="shared" si="3"/>
        <v>196</v>
      </c>
      <c r="AO39">
        <f t="shared" si="3"/>
        <v>196.1</v>
      </c>
      <c r="AP39">
        <f t="shared" si="3"/>
        <v>205.8</v>
      </c>
      <c r="AQ39">
        <f t="shared" si="3"/>
        <v>191.5</v>
      </c>
      <c r="AR39">
        <f t="shared" si="3"/>
        <v>192.3</v>
      </c>
      <c r="AS39">
        <f t="shared" si="3"/>
        <v>190.4</v>
      </c>
      <c r="AT39">
        <f t="shared" si="3"/>
        <v>190.3</v>
      </c>
      <c r="AU39">
        <f t="shared" si="3"/>
        <v>198.5</v>
      </c>
      <c r="AV39">
        <f t="shared" si="3"/>
        <v>206.1</v>
      </c>
    </row>
    <row r="40" spans="1:95" x14ac:dyDescent="0.35">
      <c r="A40" t="s">
        <v>97</v>
      </c>
      <c r="B40">
        <f>B13</f>
        <v>0.53600000000000003</v>
      </c>
      <c r="C40">
        <f t="shared" ref="C40:V40" si="4">C13</f>
        <v>0.53400000000000003</v>
      </c>
      <c r="D40">
        <f t="shared" si="4"/>
        <v>0.54600000000000004</v>
      </c>
      <c r="E40">
        <f t="shared" si="4"/>
        <v>0.55500000000000005</v>
      </c>
      <c r="F40">
        <f t="shared" si="4"/>
        <v>0.56499999999999995</v>
      </c>
      <c r="G40">
        <f t="shared" si="4"/>
        <v>0.55800000000000005</v>
      </c>
      <c r="H40">
        <f t="shared" si="4"/>
        <v>0.55700000000000005</v>
      </c>
      <c r="I40" s="4">
        <f t="shared" si="4"/>
        <v>0.54900000000000004</v>
      </c>
      <c r="J40">
        <f t="shared" si="4"/>
        <v>0.54</v>
      </c>
      <c r="K40">
        <f t="shared" si="4"/>
        <v>0.54</v>
      </c>
      <c r="L40">
        <f t="shared" si="4"/>
        <v>0.51600000000000001</v>
      </c>
      <c r="M40">
        <f t="shared" si="4"/>
        <v>0.51700000000000002</v>
      </c>
      <c r="N40">
        <f t="shared" si="4"/>
        <v>0.52600000000000002</v>
      </c>
      <c r="O40">
        <f t="shared" si="4"/>
        <v>0.53900000000000003</v>
      </c>
      <c r="P40">
        <f t="shared" si="4"/>
        <v>0.53300000000000003</v>
      </c>
      <c r="Q40">
        <f t="shared" si="4"/>
        <v>0.52300000000000002</v>
      </c>
      <c r="R40" s="6">
        <f t="shared" si="4"/>
        <v>0.50700000000000001</v>
      </c>
      <c r="S40">
        <f t="shared" si="4"/>
        <v>0.50600000000000001</v>
      </c>
      <c r="T40">
        <f t="shared" si="4"/>
        <v>0.48399999999999999</v>
      </c>
      <c r="U40">
        <f t="shared" si="4"/>
        <v>0.46</v>
      </c>
      <c r="V40">
        <f t="shared" si="4"/>
        <v>0.46</v>
      </c>
      <c r="W40">
        <f t="shared" ref="W40:AV40" si="5">W13</f>
        <v>0.51900000000000002</v>
      </c>
      <c r="X40">
        <f t="shared" si="5"/>
        <v>0.49399999999999999</v>
      </c>
      <c r="Y40">
        <f t="shared" si="5"/>
        <v>0.442</v>
      </c>
      <c r="Z40">
        <f t="shared" si="5"/>
        <v>0.45200000000000001</v>
      </c>
      <c r="AA40">
        <f t="shared" si="5"/>
        <v>0.46800000000000003</v>
      </c>
      <c r="AB40">
        <f t="shared" si="5"/>
        <v>0.46500000000000002</v>
      </c>
      <c r="AC40">
        <f t="shared" si="5"/>
        <v>0.45</v>
      </c>
      <c r="AD40">
        <f t="shared" si="5"/>
        <v>0.43</v>
      </c>
      <c r="AE40">
        <f t="shared" si="5"/>
        <v>0.44400000000000001</v>
      </c>
      <c r="AF40">
        <f t="shared" si="5"/>
        <v>0.45600000000000002</v>
      </c>
      <c r="AG40">
        <f t="shared" si="5"/>
        <v>0.442</v>
      </c>
      <c r="AH40">
        <f t="shared" si="5"/>
        <v>0.432</v>
      </c>
      <c r="AI40">
        <f t="shared" si="5"/>
        <v>0.44600000000000001</v>
      </c>
      <c r="AJ40">
        <f t="shared" si="5"/>
        <v>0.42599999999999999</v>
      </c>
      <c r="AK40">
        <f t="shared" si="5"/>
        <v>0.36</v>
      </c>
      <c r="AL40">
        <f t="shared" si="5"/>
        <v>0.36899999999999999</v>
      </c>
      <c r="AM40">
        <f t="shared" si="5"/>
        <v>0.38200000000000001</v>
      </c>
      <c r="AN40">
        <f t="shared" si="5"/>
        <v>0.38100000000000001</v>
      </c>
      <c r="AO40">
        <f t="shared" si="5"/>
        <v>0.36699999999999999</v>
      </c>
      <c r="AP40">
        <f t="shared" si="5"/>
        <v>0.35099999999999998</v>
      </c>
      <c r="AQ40">
        <f t="shared" si="5"/>
        <v>0.35799999999999998</v>
      </c>
      <c r="AR40">
        <f t="shared" si="5"/>
        <v>0.36399999999999999</v>
      </c>
      <c r="AS40">
        <f t="shared" si="5"/>
        <v>0.35699999999999998</v>
      </c>
      <c r="AT40">
        <f t="shared" si="5"/>
        <v>0.35199999999999998</v>
      </c>
      <c r="AU40">
        <f t="shared" si="5"/>
        <v>0.36599999999999999</v>
      </c>
      <c r="AV40">
        <f t="shared" si="5"/>
        <v>0.35199999999999998</v>
      </c>
    </row>
    <row r="41" spans="1:95" x14ac:dyDescent="0.35">
      <c r="A41" t="s">
        <v>105</v>
      </c>
      <c r="B41">
        <f>[1]!PropsSI("H","P",B40*1000000,"T",B39+273.15,"REFPROP::Water")/1000</f>
        <v>2835.7289538843743</v>
      </c>
      <c r="C41">
        <f>[1]!PropsSI("H","P",C40*1000000,"T",C39+273.15,"REFPROP::Water")/1000</f>
        <v>2836.4965788474151</v>
      </c>
      <c r="D41">
        <f>[1]!PropsSI("H","P",D40*1000000,"T",D39+273.15,"REFPROP::Water")/1000</f>
        <v>2837.7894281642402</v>
      </c>
      <c r="E41">
        <f>[1]!PropsSI("H","P",E40*1000000,"T",E39+273.15,"REFPROP::Water")/1000</f>
        <v>2838.3806061191594</v>
      </c>
      <c r="F41">
        <f>[1]!PropsSI("H","P",F40*1000000,"T",F39+273.15,"REFPROP::Water")/1000</f>
        <v>2840.2343836062601</v>
      </c>
      <c r="G41">
        <f>[1]!PropsSI("H","P",G40*1000000,"T",G39+273.15,"REFPROP::Water")/1000</f>
        <v>2842.1518933214084</v>
      </c>
      <c r="H41">
        <f>[1]!PropsSI("H","P",H40*1000000,"T",H39+273.15,"REFPROP::Water")/1000</f>
        <v>2842.425204808656</v>
      </c>
      <c r="I41" s="4">
        <f>[1]!PropsSI("H","P",I40*1000000,"T",I39+273.15,"REFPROP::Water")/1000</f>
        <v>2848.5216025911809</v>
      </c>
      <c r="J41">
        <f>[1]!PropsSI("H","P",J40*1000000,"T",J39+273.15,"REFPROP::Water")/1000</f>
        <v>2849.4343877188367</v>
      </c>
      <c r="K41">
        <f>[1]!PropsSI("H","P",K40*1000000,"T",K39+273.15,"REFPROP::Water")/1000</f>
        <v>2849.4343877188367</v>
      </c>
      <c r="L41">
        <f>[1]!PropsSI("H","P",L40*1000000,"T",L39+273.15,"REFPROP::Water")/1000</f>
        <v>2865.0924492271456</v>
      </c>
      <c r="M41">
        <f>[1]!PropsSI("H","P",M40*1000000,"T",M39+273.15,"REFPROP::Water")/1000</f>
        <v>2864.8288037526113</v>
      </c>
      <c r="N41">
        <f>[1]!PropsSI("H","P",N40*1000000,"T",N39+273.15,"REFPROP::Water")/1000</f>
        <v>2834.3303039776797</v>
      </c>
      <c r="O41">
        <f>[1]!PropsSI("H","P",O40*1000000,"T",O39+273.15,"REFPROP::Water")/1000</f>
        <v>2834.9036665038216</v>
      </c>
      <c r="P41">
        <f>[1]!PropsSI("H","P",P40*1000000,"T",P39+273.15,"REFPROP::Water")/1000</f>
        <v>2832.8393827292816</v>
      </c>
      <c r="Q41">
        <f>[1]!PropsSI("H","P",Q40*1000000,"T",Q39+273.15,"REFPROP::Water")/1000</f>
        <v>2829.4785133829887</v>
      </c>
      <c r="R41" s="6">
        <f>[1]!PropsSI("H","P",R40*1000000,"T",R39+273.15,"REFPROP::Water")/1000</f>
        <v>2829.5335011803736</v>
      </c>
      <c r="S41">
        <f>[1]!PropsSI("H","P",S40*1000000,"T",S39+273.15,"REFPROP::Water")/1000</f>
        <v>2829.5914834379787</v>
      </c>
      <c r="T41">
        <f>[1]!PropsSI("H","P",T40*1000000,"T",T39+273.15,"REFPROP::Water")/1000</f>
        <v>2834.9724080201531</v>
      </c>
      <c r="U41">
        <f>[1]!PropsSI("H","P",U40*1000000,"T",U39+273.15,"REFPROP::Water")/1000</f>
        <v>2848.6931422362391</v>
      </c>
      <c r="V41">
        <f>[1]!PropsSI("H","P",V40*1000000,"T",V39+273.15,"REFPROP::Water")/1000</f>
        <v>2848.6931422362391</v>
      </c>
      <c r="W41">
        <f>[1]!PropsSI("H","P",W40*1000000,"T",W39+273.15,"REFPROP::Water")/1000</f>
        <v>2843.8466924825307</v>
      </c>
      <c r="X41">
        <f>[1]!PropsSI("H","P",X40*1000000,"T",X39+273.15,"REFPROP::Water")/1000</f>
        <v>2858.2850658590878</v>
      </c>
      <c r="Y41">
        <f>[1]!PropsSI("H","P",Y40*1000000,"T",Y39+273.15,"REFPROP::Water")/1000</f>
        <v>2841.1745645529131</v>
      </c>
      <c r="Z41">
        <f>[1]!PropsSI("H","P",Z40*1000000,"T",Z39+273.15,"REFPROP::Water")/1000</f>
        <v>2842.9759448834193</v>
      </c>
      <c r="AA41">
        <f>[1]!PropsSI("H","P",AA40*1000000,"T",AA39+273.15,"REFPROP::Water")/1000</f>
        <v>2845.5302967531065</v>
      </c>
      <c r="AB41">
        <f>[1]!PropsSI("H","P",AB40*1000000,"T",AB39+273.15,"REFPROP::Water")/1000</f>
        <v>2847.6156986125884</v>
      </c>
      <c r="AC41">
        <f>[1]!PropsSI("H","P",AC40*1000000,"T",AC39+273.15,"REFPROP::Water")/1000</f>
        <v>2854.7924384800431</v>
      </c>
      <c r="AD41">
        <f>[1]!PropsSI("H","P",AD40*1000000,"T",AD39+273.15,"REFPROP::Water")/1000</f>
        <v>2870.1548432950103</v>
      </c>
      <c r="AE41">
        <f>[1]!PropsSI("H","P",AE40*1000000,"T",AE39+273.15,"REFPROP::Water")/1000</f>
        <v>2841.9182934797659</v>
      </c>
      <c r="AF41">
        <f>[1]!PropsSI("H","P",AF40*1000000,"T",AF39+273.15,"REFPROP::Water")/1000</f>
        <v>2844.2539561049257</v>
      </c>
      <c r="AG41">
        <f>[1]!PropsSI("H","P",AG40*1000000,"T",AG39+273.15,"REFPROP::Water")/1000</f>
        <v>2837.9722605194429</v>
      </c>
      <c r="AH41">
        <f>[1]!PropsSI("H","P",AH40*1000000,"T",AH39+273.15,"REFPROP::Water")/1000</f>
        <v>2838.1016646749858</v>
      </c>
      <c r="AI41">
        <f>[1]!PropsSI("H","P",AI40*1000000,"T",AI39+273.15,"REFPROP::Water")/1000</f>
        <v>2853.726164517544</v>
      </c>
      <c r="AJ41">
        <f>[1]!PropsSI("H","P",AJ40*1000000,"T",AJ39+273.15,"REFPROP::Water")/1000</f>
        <v>2868.8778797748751</v>
      </c>
      <c r="AK41">
        <f>[1]!PropsSI("H","P",AK40*1000000,"T",AK39+273.15,"REFPROP::Water")/1000</f>
        <v>2846.0391045631782</v>
      </c>
      <c r="AL41">
        <f>[1]!PropsSI("H","P",AL40*1000000,"T",AL39+273.15,"REFPROP::Water")/1000</f>
        <v>2848.2799186829147</v>
      </c>
      <c r="AM41">
        <f>[1]!PropsSI("H","P",AM40*1000000,"T",AM39+273.15,"REFPROP::Water")/1000</f>
        <v>2851.7858417978</v>
      </c>
      <c r="AN41">
        <f>[1]!PropsSI("H","P",AN40*1000000,"T",AN39+273.15,"REFPROP::Water")/1000</f>
        <v>2853.5142561584448</v>
      </c>
      <c r="AO41">
        <f>[1]!PropsSI("H","P",AO40*1000000,"T",AO39+273.15,"REFPROP::Water")/1000</f>
        <v>2854.4473849739743</v>
      </c>
      <c r="AP41">
        <f>[1]!PropsSI("H","P",AP40*1000000,"T",AP39+273.15,"REFPROP::Water")/1000</f>
        <v>2875.3924895697214</v>
      </c>
      <c r="AQ41">
        <f>[1]!PropsSI("H","P",AQ40*1000000,"T",AQ39+273.15,"REFPROP::Water")/1000</f>
        <v>2845.3098521981869</v>
      </c>
      <c r="AR41">
        <f>[1]!PropsSI("H","P",AR40*1000000,"T",AR39+273.15,"REFPROP::Water")/1000</f>
        <v>2846.6621314188915</v>
      </c>
      <c r="AS41">
        <f>[1]!PropsSI("H","P",AS40*1000000,"T",AS39+273.15,"REFPROP::Water")/1000</f>
        <v>2843.0631088444557</v>
      </c>
      <c r="AT41">
        <f>[1]!PropsSI("H","P",AT40*1000000,"T",AT39+273.15,"REFPROP::Water")/1000</f>
        <v>2843.1249060074256</v>
      </c>
      <c r="AU41">
        <f>[1]!PropsSI("H","P",AU40*1000000,"T",AU39+273.15,"REFPROP::Water")/1000</f>
        <v>2859.5046647390986</v>
      </c>
      <c r="AV41">
        <f>[1]!PropsSI("H","P",AV40*1000000,"T",AV39+273.15,"REFPROP::Water")/1000</f>
        <v>2875.9659245144603</v>
      </c>
    </row>
    <row r="42" spans="1:95" x14ac:dyDescent="0.35">
      <c r="A42" t="s">
        <v>107</v>
      </c>
      <c r="B42">
        <f>[1]!PropsSI("S","P",B40*1000000,"T",B39+273.15,"REFPROP::Water")/1000</f>
        <v>6.98697760840271</v>
      </c>
      <c r="C42">
        <f>[1]!PropsSI("S","P",C40*1000000,"T",C39+273.15,"REFPROP::Water")/1000</f>
        <v>6.9903003648820237</v>
      </c>
      <c r="D42">
        <f>[1]!PropsSI("S","P",D40*1000000,"T",D39+273.15,"REFPROP::Water")/1000</f>
        <v>6.9831418858529748</v>
      </c>
      <c r="E42">
        <f>[1]!PropsSI("S","P",E40*1000000,"T",E39+273.15,"REFPROP::Water")/1000</f>
        <v>6.9771036300760079</v>
      </c>
      <c r="F42">
        <f>[1]!PropsSI("S","P",F40*1000000,"T",F39+273.15,"REFPROP::Water")/1000</f>
        <v>6.9730954558771776</v>
      </c>
      <c r="G42">
        <f>[1]!PropsSI("S","P",G40*1000000,"T",G39+273.15,"REFPROP::Water")/1000</f>
        <v>6.9827640542862781</v>
      </c>
      <c r="H42">
        <f>[1]!PropsSI("S","P",H40*1000000,"T",H39+273.15,"REFPROP::Water")/1000</f>
        <v>6.9841494604514844</v>
      </c>
      <c r="I42" s="4">
        <f>[1]!PropsSI("S","P",I40*1000000,"T",I39+273.15,"REFPROP::Water")/1000</f>
        <v>7.0036012848367521</v>
      </c>
      <c r="J42">
        <f>[1]!PropsSI("S","P",J40*1000000,"T",J39+273.15,"REFPROP::Water")/1000</f>
        <v>7.0129395238086127</v>
      </c>
      <c r="K42">
        <f>[1]!PropsSI("S","P",K40*1000000,"T",K39+273.15,"REFPROP::Water")/1000</f>
        <v>7.0129395238086127</v>
      </c>
      <c r="L42">
        <f>[1]!PropsSI("S","P",L40*1000000,"T",L39+273.15,"REFPROP::Water")/1000</f>
        <v>7.0663334734817056</v>
      </c>
      <c r="M42">
        <f>[1]!PropsSI("S","P",M40*1000000,"T",M39+273.15,"REFPROP::Water")/1000</f>
        <v>7.0649118674741755</v>
      </c>
      <c r="N42">
        <f>[1]!PropsSI("S","P",N40*1000000,"T",N39+273.15,"REFPROP::Water")/1000</f>
        <v>6.9923869853966165</v>
      </c>
      <c r="O42">
        <f>[1]!PropsSI("S","P",O40*1000000,"T",O39+273.15,"REFPROP::Water")/1000</f>
        <v>6.9827061682611591</v>
      </c>
      <c r="P42">
        <f>[1]!PropsSI("S","P",P40*1000000,"T",P39+273.15,"REFPROP::Water")/1000</f>
        <v>6.9832599020698067</v>
      </c>
      <c r="Q42">
        <f>[1]!PropsSI("S","P",Q40*1000000,"T",Q39+273.15,"REFPROP::Water")/1000</f>
        <v>6.9844586905592978</v>
      </c>
      <c r="R42" s="6">
        <f>[1]!PropsSI("S","P",R40*1000000,"T",R39+273.15,"REFPROP::Water")/1000</f>
        <v>6.9984736936907179</v>
      </c>
      <c r="S42">
        <f>[1]!PropsSI("S","P",S40*1000000,"T",S39+273.15,"REFPROP::Water")/1000</f>
        <v>6.9994828576715902</v>
      </c>
      <c r="T42">
        <f>[1]!PropsSI("S","P",T40*1000000,"T",T39+273.15,"REFPROP::Water")/1000</f>
        <v>7.0310384532446397</v>
      </c>
      <c r="U42">
        <f>[1]!PropsSI("S","P",U40*1000000,"T",U39+273.15,"REFPROP::Water")/1000</f>
        <v>7.0833252496335941</v>
      </c>
      <c r="V42">
        <f>[1]!PropsSI("S","P",V40*1000000,"T",V39+273.15,"REFPROP::Water")/1000</f>
        <v>7.0833252496335941</v>
      </c>
      <c r="W42">
        <f>[1]!PropsSI("S","P",W40*1000000,"T",W39+273.15,"REFPROP::Water")/1000</f>
        <v>7.0188081644430493</v>
      </c>
      <c r="X42">
        <f>[1]!PropsSI("S","P",X40*1000000,"T",X39+273.15,"REFPROP::Water")/1000</f>
        <v>7.071610868664246</v>
      </c>
      <c r="Y42">
        <f>[1]!PropsSI("S","P",Y40*1000000,"T",Y39+273.15,"REFPROP::Water")/1000</f>
        <v>7.0851722046165007</v>
      </c>
      <c r="Z42">
        <f>[1]!PropsSI("S","P",Z40*1000000,"T",Z39+273.15,"REFPROP::Water")/1000</f>
        <v>7.0789821518875318</v>
      </c>
      <c r="AA42">
        <f>[1]!PropsSI("S","P",AA40*1000000,"T",AA39+273.15,"REFPROP::Water")/1000</f>
        <v>7.0688188687392648</v>
      </c>
      <c r="AB42">
        <f>[1]!PropsSI("S","P",AB40*1000000,"T",AB39+273.15,"REFPROP::Water")/1000</f>
        <v>7.076165229301675</v>
      </c>
      <c r="AC42">
        <f>[1]!PropsSI("S","P",AC40*1000000,"T",AC39+273.15,"REFPROP::Water")/1000</f>
        <v>7.1061891413420017</v>
      </c>
      <c r="AD42">
        <f>[1]!PropsSI("S","P",AD40*1000000,"T",AD39+273.15,"REFPROP::Water")/1000</f>
        <v>7.1590398930284005</v>
      </c>
      <c r="AE42">
        <f>[1]!PropsSI("S","P",AE40*1000000,"T",AE39+273.15,"REFPROP::Water")/1000</f>
        <v>7.0847409080272792</v>
      </c>
      <c r="AF42">
        <f>[1]!PropsSI("S","P",AF40*1000000,"T",AF39+273.15,"REFPROP::Water")/1000</f>
        <v>7.077761640454332</v>
      </c>
      <c r="AG42">
        <f>[1]!PropsSI("S","P",AG40*1000000,"T",AG39+273.15,"REFPROP::Water")/1000</f>
        <v>7.0782721652966325</v>
      </c>
      <c r="AH42">
        <f>[1]!PropsSI("S","P",AH40*1000000,"T",AH39+273.15,"REFPROP::Water")/1000</f>
        <v>7.0888432704596891</v>
      </c>
      <c r="AI42">
        <f>[1]!PropsSI("S","P",AI40*1000000,"T",AI39+273.15,"REFPROP::Water")/1000</f>
        <v>7.10794648147467</v>
      </c>
      <c r="AJ42">
        <f>[1]!PropsSI("S","P",AJ40*1000000,"T",AJ39+273.15,"REFPROP::Water")/1000</f>
        <v>7.1605871013101252</v>
      </c>
      <c r="AK42">
        <f>[1]!PropsSI("S","P",AK40*1000000,"T",AK39+273.15,"REFPROP::Water")/1000</f>
        <v>7.1881735927942296</v>
      </c>
      <c r="AL42">
        <f>[1]!PropsSI("S","P",AL40*1000000,"T",AL39+273.15,"REFPROP::Water")/1000</f>
        <v>7.1818244424303241</v>
      </c>
      <c r="AM42">
        <f>[1]!PropsSI("S","P",AM40*1000000,"T",AM39+273.15,"REFPROP::Water")/1000</f>
        <v>7.1736815333963202</v>
      </c>
      <c r="AN42">
        <f>[1]!PropsSI("S","P",AN40*1000000,"T",AN39+273.15,"REFPROP::Water")/1000</f>
        <v>7.1785531165011456</v>
      </c>
      <c r="AO42">
        <f>[1]!PropsSI("S","P",AO40*1000000,"T",AO39+273.15,"REFPROP::Water")/1000</f>
        <v>7.1974654658181354</v>
      </c>
      <c r="AP42">
        <f>[1]!PropsSI("S","P",AP40*1000000,"T",AP39+273.15,"REFPROP::Water")/1000</f>
        <v>7.2618321194954998</v>
      </c>
      <c r="AQ42">
        <f>[1]!PropsSI("S","P",AQ40*1000000,"T",AQ39+273.15,"REFPROP::Water")/1000</f>
        <v>7.1891232811356076</v>
      </c>
      <c r="AR42">
        <f>[1]!PropsSI("S","P",AR40*1000000,"T",AR39+273.15,"REFPROP::Water")/1000</f>
        <v>7.184517974022933</v>
      </c>
      <c r="AS42">
        <f>[1]!PropsSI("S","P",AS40*1000000,"T",AS39+273.15,"REFPROP::Water")/1000</f>
        <v>7.1855466510633779</v>
      </c>
      <c r="AT42">
        <f>[1]!PropsSI("S","P",AT40*1000000,"T",AT39+273.15,"REFPROP::Water")/1000</f>
        <v>7.1920562421868901</v>
      </c>
      <c r="AU42">
        <f>[1]!PropsSI("S","P",AU40*1000000,"T",AU39+273.15,"REFPROP::Water")/1000</f>
        <v>7.2094496227585418</v>
      </c>
      <c r="AV42">
        <f>[1]!PropsSI("S","P",AV40*1000000,"T",AV39+273.15,"REFPROP::Water")/1000</f>
        <v>7.2617391150201547</v>
      </c>
    </row>
    <row r="43" spans="1:95" x14ac:dyDescent="0.35">
      <c r="A43" t="s">
        <v>99</v>
      </c>
      <c r="B43">
        <f>B18</f>
        <v>127.2</v>
      </c>
      <c r="C43">
        <f t="shared" ref="C43:V43" si="6">C18</f>
        <v>127.1</v>
      </c>
      <c r="D43">
        <f t="shared" si="6"/>
        <v>127.8</v>
      </c>
      <c r="E43">
        <f t="shared" si="6"/>
        <v>128.30000000000001</v>
      </c>
      <c r="F43">
        <f t="shared" si="6"/>
        <v>128.9</v>
      </c>
      <c r="G43">
        <f t="shared" si="6"/>
        <v>129</v>
      </c>
      <c r="H43">
        <f t="shared" si="6"/>
        <v>129.19999999999999</v>
      </c>
      <c r="I43" s="4">
        <f t="shared" si="6"/>
        <v>131.4</v>
      </c>
      <c r="J43">
        <f t="shared" si="6"/>
        <v>131.6</v>
      </c>
      <c r="K43">
        <f t="shared" si="6"/>
        <v>131.69999999999999</v>
      </c>
      <c r="L43">
        <f t="shared" si="6"/>
        <v>137.6</v>
      </c>
      <c r="M43">
        <f t="shared" si="6"/>
        <v>137.69999999999999</v>
      </c>
      <c r="N43">
        <f t="shared" si="6"/>
        <v>122.6</v>
      </c>
      <c r="O43">
        <f t="shared" si="6"/>
        <v>123.6</v>
      </c>
      <c r="P43">
        <f t="shared" si="6"/>
        <v>119.2</v>
      </c>
      <c r="Q43">
        <f t="shared" si="6"/>
        <v>111.3</v>
      </c>
      <c r="R43" s="6">
        <f t="shared" si="6"/>
        <v>102.9</v>
      </c>
      <c r="S43">
        <f t="shared" si="6"/>
        <v>102.2</v>
      </c>
      <c r="T43">
        <f t="shared" si="6"/>
        <v>95</v>
      </c>
      <c r="U43">
        <f t="shared" si="6"/>
        <v>92.4</v>
      </c>
      <c r="V43">
        <f t="shared" si="6"/>
        <v>92.4</v>
      </c>
      <c r="W43">
        <f t="shared" ref="W43:AV43" si="7">W18</f>
        <v>120.9</v>
      </c>
      <c r="X43">
        <f t="shared" si="7"/>
        <v>121.8</v>
      </c>
      <c r="Y43">
        <f t="shared" si="7"/>
        <v>118.4</v>
      </c>
      <c r="Z43">
        <f t="shared" si="7"/>
        <v>119.3</v>
      </c>
      <c r="AA43">
        <f t="shared" si="7"/>
        <v>120.4</v>
      </c>
      <c r="AB43">
        <f t="shared" si="7"/>
        <v>121.1</v>
      </c>
      <c r="AC43">
        <f t="shared" si="7"/>
        <v>123.9</v>
      </c>
      <c r="AD43">
        <f t="shared" si="7"/>
        <v>129.9</v>
      </c>
      <c r="AE43">
        <f t="shared" si="7"/>
        <v>119.4</v>
      </c>
      <c r="AF43">
        <f t="shared" si="7"/>
        <v>122.2</v>
      </c>
      <c r="AG43">
        <f t="shared" si="7"/>
        <v>103.5</v>
      </c>
      <c r="AH43">
        <f t="shared" si="7"/>
        <v>96.5</v>
      </c>
      <c r="AI43">
        <f t="shared" si="7"/>
        <v>120.2</v>
      </c>
      <c r="AJ43">
        <f t="shared" si="7"/>
        <v>126.3</v>
      </c>
      <c r="AK43">
        <f t="shared" si="7"/>
        <v>119.3</v>
      </c>
      <c r="AL43">
        <f t="shared" si="7"/>
        <v>120.4</v>
      </c>
      <c r="AM43">
        <f t="shared" si="7"/>
        <v>122.1</v>
      </c>
      <c r="AN43">
        <f t="shared" si="7"/>
        <v>122.9</v>
      </c>
      <c r="AO43">
        <f t="shared" si="7"/>
        <v>122.1</v>
      </c>
      <c r="AP43">
        <f t="shared" si="7"/>
        <v>131.6</v>
      </c>
      <c r="AQ43">
        <f t="shared" si="7"/>
        <v>116.1</v>
      </c>
      <c r="AR43">
        <f t="shared" si="7"/>
        <v>114.4</v>
      </c>
      <c r="AS43">
        <f t="shared" si="7"/>
        <v>95.1</v>
      </c>
      <c r="AT43">
        <f t="shared" si="7"/>
        <v>87.9</v>
      </c>
      <c r="AU43">
        <f t="shared" si="7"/>
        <v>122.5</v>
      </c>
      <c r="AV43">
        <f t="shared" si="7"/>
        <v>132.69999999999999</v>
      </c>
    </row>
    <row r="44" spans="1:95" x14ac:dyDescent="0.35">
      <c r="A44" t="s">
        <v>100</v>
      </c>
      <c r="B44">
        <f>B17</f>
        <v>0.24829999999999999</v>
      </c>
      <c r="C44">
        <f t="shared" ref="C44:V44" si="8">C17</f>
        <v>0.24759999999999999</v>
      </c>
      <c r="D44">
        <f t="shared" si="8"/>
        <v>0.25330000000000003</v>
      </c>
      <c r="E44">
        <f t="shared" si="8"/>
        <v>0.25719999999999998</v>
      </c>
      <c r="F44">
        <f t="shared" si="8"/>
        <v>0.2616</v>
      </c>
      <c r="G44">
        <f t="shared" si="8"/>
        <v>0.25850000000000001</v>
      </c>
      <c r="H44">
        <f t="shared" si="8"/>
        <v>0.25819999999999999</v>
      </c>
      <c r="I44" s="4">
        <f t="shared" si="8"/>
        <v>0.25419999999999998</v>
      </c>
      <c r="J44">
        <f t="shared" si="8"/>
        <v>0.25</v>
      </c>
      <c r="K44">
        <f t="shared" si="8"/>
        <v>0.25019999999999998</v>
      </c>
      <c r="L44">
        <f t="shared" si="8"/>
        <v>0.2392</v>
      </c>
      <c r="M44">
        <f t="shared" si="8"/>
        <v>0.23980000000000001</v>
      </c>
      <c r="N44">
        <f t="shared" si="8"/>
        <v>0.21629999999999999</v>
      </c>
      <c r="O44">
        <f t="shared" si="8"/>
        <v>0.2225</v>
      </c>
      <c r="P44">
        <f t="shared" si="8"/>
        <v>0.19389999999999999</v>
      </c>
      <c r="Q44">
        <f t="shared" si="8"/>
        <v>0.1497</v>
      </c>
      <c r="R44" s="6">
        <f t="shared" si="8"/>
        <v>0.1123</v>
      </c>
      <c r="S44">
        <f t="shared" si="8"/>
        <v>0.1096</v>
      </c>
      <c r="T44">
        <f t="shared" si="8"/>
        <v>8.4599999999999995E-2</v>
      </c>
      <c r="U44">
        <f t="shared" si="8"/>
        <v>7.6700000000000004E-2</v>
      </c>
      <c r="V44">
        <f t="shared" si="8"/>
        <v>7.6700000000000004E-2</v>
      </c>
      <c r="W44">
        <f t="shared" ref="W44:AV44" si="9">W17</f>
        <v>0.2046</v>
      </c>
      <c r="X44">
        <f t="shared" si="9"/>
        <v>0.19500000000000001</v>
      </c>
      <c r="Y44">
        <f t="shared" si="9"/>
        <v>0.184</v>
      </c>
      <c r="Z44">
        <f t="shared" si="9"/>
        <v>0.189</v>
      </c>
      <c r="AA44">
        <f t="shared" si="9"/>
        <v>0.19500000000000001</v>
      </c>
      <c r="AB44">
        <f t="shared" si="9"/>
        <v>0.19400000000000001</v>
      </c>
      <c r="AC44">
        <f t="shared" si="9"/>
        <v>0.188</v>
      </c>
      <c r="AD44">
        <f t="shared" si="9"/>
        <v>0.18</v>
      </c>
      <c r="AE44">
        <f t="shared" si="9"/>
        <v>0.1754</v>
      </c>
      <c r="AF44">
        <f t="shared" si="9"/>
        <v>0.1883</v>
      </c>
      <c r="AG44">
        <f t="shared" si="9"/>
        <v>0.1148</v>
      </c>
      <c r="AH44">
        <f t="shared" si="9"/>
        <v>8.9300000000000004E-2</v>
      </c>
      <c r="AI44">
        <f t="shared" si="9"/>
        <v>0.1787</v>
      </c>
      <c r="AJ44">
        <f t="shared" si="9"/>
        <v>0.1714</v>
      </c>
      <c r="AK44">
        <f t="shared" si="9"/>
        <v>0.15</v>
      </c>
      <c r="AL44">
        <f t="shared" si="9"/>
        <v>0.15379999999999999</v>
      </c>
      <c r="AM44">
        <f t="shared" si="9"/>
        <v>0.1595</v>
      </c>
      <c r="AN44">
        <f t="shared" si="9"/>
        <v>0.15909999999999999</v>
      </c>
      <c r="AO44">
        <f t="shared" si="9"/>
        <v>0.153</v>
      </c>
      <c r="AP44">
        <f t="shared" si="9"/>
        <v>0.1469</v>
      </c>
      <c r="AQ44">
        <f t="shared" si="9"/>
        <v>0.13089999999999999</v>
      </c>
      <c r="AR44">
        <f t="shared" si="9"/>
        <v>0.13439999999999999</v>
      </c>
      <c r="AS44">
        <f t="shared" si="9"/>
        <v>8.4900000000000003E-2</v>
      </c>
      <c r="AT44">
        <f t="shared" si="9"/>
        <v>6.4899999999999999E-2</v>
      </c>
      <c r="AU44">
        <f t="shared" si="9"/>
        <v>0.14760000000000001</v>
      </c>
      <c r="AV44">
        <f t="shared" si="9"/>
        <v>0.14910000000000001</v>
      </c>
    </row>
    <row r="45" spans="1:95" x14ac:dyDescent="0.35">
      <c r="A45" t="s">
        <v>106</v>
      </c>
      <c r="B45">
        <f>[1]!PropsSI("H","P",B44*1000000,"T",B43+273.15,"REFPROP::Water")/1000</f>
        <v>2716.2048080626223</v>
      </c>
      <c r="C45">
        <f>[1]!PropsSI("H","P",C44*1000000,"T",C43+273.15,"REFPROP::Water")/1000</f>
        <v>2716.0589890050705</v>
      </c>
      <c r="D45">
        <f>[1]!PropsSI("H","P",D44*1000000,"T",D43+273.15,"REFPROP::Water")/1000</f>
        <v>537.00145767032541</v>
      </c>
      <c r="E45">
        <f>[1]!PropsSI("H","P",E44*1000000,"T",E43+273.15,"REFPROP::Water")/1000</f>
        <v>539.13299381306524</v>
      </c>
      <c r="F45">
        <f>[1]!PropsSI("H","P",F44*1000000,"T",F43+273.15,"REFPROP::Water")/1000</f>
        <v>541.69126608376303</v>
      </c>
      <c r="G45">
        <f>[1]!PropsSI("H","P",G44*1000000,"T",G43+273.15,"REFPROP::Water")/1000</f>
        <v>2719.1060194396055</v>
      </c>
      <c r="H45">
        <f>[1]!PropsSI("H","P",H44*1000000,"T",H43+273.15,"REFPROP::Water")/1000</f>
        <v>2719.5827272099764</v>
      </c>
      <c r="I45" s="4">
        <f>[1]!PropsSI("H","P",I44*1000000,"T",I43+273.15,"REFPROP::Water")/1000</f>
        <v>2724.8615334195529</v>
      </c>
      <c r="J45">
        <f>[1]!PropsSI("H","P",J44*1000000,"T",J43+273.15,"REFPROP::Water")/1000</f>
        <v>2725.726881597805</v>
      </c>
      <c r="K45">
        <f>[1]!PropsSI("H","P",K44*1000000,"T",K43+273.15,"REFPROP::Water")/1000</f>
        <v>2725.9256810219163</v>
      </c>
      <c r="L45">
        <f>[1]!PropsSI("H","P",L44*1000000,"T",L43+273.15,"REFPROP::Water")/1000</f>
        <v>2739.7581180847546</v>
      </c>
      <c r="M45">
        <f>[1]!PropsSI("H","P",M44*1000000,"T",M43+273.15,"REFPROP::Water")/1000</f>
        <v>2739.9174319775602</v>
      </c>
      <c r="N45">
        <f>[1]!PropsSI("H","P",N44*1000000,"T",N43+273.15,"REFPROP::Water")/1000</f>
        <v>514.86281788628457</v>
      </c>
      <c r="O45">
        <f>[1]!PropsSI("H","P",O44*1000000,"T",O43+273.15,"REFPROP::Water")/1000</f>
        <v>519.11589907286623</v>
      </c>
      <c r="P45">
        <f>[1]!PropsSI("H","P",P44*1000000,"T",P43+273.15,"REFPROP::Water")/1000</f>
        <v>500.41405046905226</v>
      </c>
      <c r="Q45">
        <f>[1]!PropsSI("H","P",Q44*1000000,"T",Q43+273.15,"REFPROP::Water")/1000</f>
        <v>2693.0375190772397</v>
      </c>
      <c r="R45" s="6">
        <f>[1]!PropsSI("H","P",R44*1000000,"T",R43+273.15,"REFPROP::Water")/1000</f>
        <v>2680.1322031299301</v>
      </c>
      <c r="S45">
        <f>[1]!PropsSI("H","P",S44*1000000,"T",S43+273.15,"REFPROP::Water")/1000</f>
        <v>2679.0336654140756</v>
      </c>
      <c r="T45">
        <f>[1]!PropsSI("H","P",T44*1000000,"T",T43+273.15,"REFPROP::Water")/1000</f>
        <v>2667.6149915031665</v>
      </c>
      <c r="U45">
        <f>[1]!PropsSI("H","P",U44*1000000,"T",U43+273.15,"REFPROP::Water")/1000</f>
        <v>2663.4446956979591</v>
      </c>
      <c r="V45">
        <f>[1]!PropsSI("H","P",V44*1000000,"T",V43+273.15,"REFPROP::Water")/1000</f>
        <v>2663.4446956979591</v>
      </c>
      <c r="W45">
        <f>[1]!PropsSI("H","P",W44*1000000,"T",W43+273.15,"REFPROP::Water")/1000</f>
        <v>507.63568269710055</v>
      </c>
      <c r="X45">
        <f>[1]!PropsSI("H","P",X44*1000000,"T",X43+273.15,"REFPROP::Water")/1000</f>
        <v>2710.2420153489948</v>
      </c>
      <c r="Y45">
        <f>[1]!PropsSI("H","P",Y44*1000000,"T",Y43+273.15,"REFPROP::Water")/1000</f>
        <v>2704.1524547288304</v>
      </c>
      <c r="Z45">
        <f>[1]!PropsSI("H","P",Z44*1000000,"T",Z43+273.15,"REFPROP::Water")/1000</f>
        <v>2705.5198034937494</v>
      </c>
      <c r="AA45">
        <f>[1]!PropsSI("H","P",AA44*1000000,"T",AA43+273.15,"REFPROP::Water")/1000</f>
        <v>2707.2149384851432</v>
      </c>
      <c r="AB45">
        <f>[1]!PropsSI("H","P",AB44*1000000,"T",AB43+273.15,"REFPROP::Water")/1000</f>
        <v>2708.8423288052018</v>
      </c>
      <c r="AC45">
        <f>[1]!PropsSI("H","P",AC44*1000000,"T",AC43+273.15,"REFPROP::Water")/1000</f>
        <v>2715.5088724931597</v>
      </c>
      <c r="AD45">
        <f>[1]!PropsSI("H","P",AD44*1000000,"T",AD43+273.15,"REFPROP::Water")/1000</f>
        <v>2729.0121470017953</v>
      </c>
      <c r="AE45">
        <f>[1]!PropsSI("H","P",AE44*1000000,"T",AE43+273.15,"REFPROP::Water")/1000</f>
        <v>2707.2808820368818</v>
      </c>
      <c r="AF45">
        <f>[1]!PropsSI("H","P",AF44*1000000,"T",AF43+273.15,"REFPROP::Water")/1000</f>
        <v>2711.8406376471603</v>
      </c>
      <c r="AG45">
        <f>[1]!PropsSI("H","P",AG44*1000000,"T",AG43+273.15,"REFPROP::Water")/1000</f>
        <v>433.93821354037686</v>
      </c>
      <c r="AH45">
        <f>[1]!PropsSI("H","P",AH44*1000000,"T",AH43+273.15,"REFPROP::Water")/1000</f>
        <v>2670.0271264041353</v>
      </c>
      <c r="AI45">
        <f>[1]!PropsSI("H","P",AI44*1000000,"T",AI43+273.15,"REFPROP::Water")/1000</f>
        <v>2708.6203316463407</v>
      </c>
      <c r="AJ45">
        <f>[1]!PropsSI("H","P",AJ44*1000000,"T",AJ43+273.15,"REFPROP::Water")/1000</f>
        <v>2722.3096611603146</v>
      </c>
      <c r="AK45">
        <f>[1]!PropsSI("H","P",AK44*1000000,"T",AK43+273.15,"REFPROP::Water")/1000</f>
        <v>2709.8865945496318</v>
      </c>
      <c r="AL45">
        <f>[1]!PropsSI("H","P",AL44*1000000,"T",AL43+273.15,"REFPROP::Water")/1000</f>
        <v>2711.7769085774958</v>
      </c>
      <c r="AM45">
        <f>[1]!PropsSI("H","P",AM44*1000000,"T",AM43+273.15,"REFPROP::Water")/1000</f>
        <v>2714.7299691358121</v>
      </c>
      <c r="AN45">
        <f>[1]!PropsSI("H","P",AN44*1000000,"T",AN43+273.15,"REFPROP::Water")/1000</f>
        <v>2716.4485742204756</v>
      </c>
      <c r="AO45">
        <f>[1]!PropsSI("H","P",AO44*1000000,"T",AO43+273.15,"REFPROP::Water")/1000</f>
        <v>2715.4174040682328</v>
      </c>
      <c r="AP45">
        <f>[1]!PropsSI("H","P",AP44*1000000,"T",AP43+273.15,"REFPROP::Water")/1000</f>
        <v>2735.6761744445175</v>
      </c>
      <c r="AQ45">
        <f>[1]!PropsSI("H","P",AQ44*1000000,"T",AQ43+273.15,"REFPROP::Water")/1000</f>
        <v>2705.3348951345752</v>
      </c>
      <c r="AR45">
        <f>[1]!PropsSI("H","P",AR44*1000000,"T",AR43+273.15,"REFPROP::Water")/1000</f>
        <v>2701.4004688727518</v>
      </c>
      <c r="AS45">
        <f>[1]!PropsSI("H","P",AS44*1000000,"T",AS43+273.15,"REFPROP::Water")/1000</f>
        <v>2667.7771359703274</v>
      </c>
      <c r="AT45">
        <f>[1]!PropsSI("H","P",AT44*1000000,"T",AT43+273.15,"REFPROP::Water")/1000</f>
        <v>368.20624238440837</v>
      </c>
      <c r="AU45">
        <f>[1]!PropsSI("H","P",AU44*1000000,"T",AU43+273.15,"REFPROP::Water")/1000</f>
        <v>2716.8167959883526</v>
      </c>
      <c r="AV45">
        <f>[1]!PropsSI("H","P",AV44*1000000,"T",AV43+273.15,"REFPROP::Water")/1000</f>
        <v>2737.7318623337701</v>
      </c>
    </row>
    <row r="46" spans="1:95" x14ac:dyDescent="0.35">
      <c r="A46" t="s">
        <v>108</v>
      </c>
      <c r="B46">
        <f>[1]!PropsSI("H","P",B44*1000000,"S",B42*1000,"REFPROP::Water")/1000</f>
        <v>2689.0534517066271</v>
      </c>
      <c r="C46">
        <f>[1]!PropsSI("H","P",C44*1000000,"S",C42*1000,"REFPROP::Water")/1000</f>
        <v>2689.8827427118076</v>
      </c>
      <c r="D46">
        <f>[1]!PropsSI("H","P",D44*1000000,"S",D42*1000,"REFPROP::Water")/1000</f>
        <v>2691.0556730259377</v>
      </c>
      <c r="E46">
        <f>[1]!PropsSI("H","P",E44*1000000,"S",E42*1000,"REFPROP::Water")/1000</f>
        <v>2691.3485602632477</v>
      </c>
      <c r="F46">
        <f>[1]!PropsSI("H","P",F44*1000000,"S",F42*1000,"REFPROP::Water")/1000</f>
        <v>2692.7562220708146</v>
      </c>
      <c r="G46">
        <f>[1]!PropsSI("H","P",G44*1000000,"S",G42*1000,"REFPROP::Water")/1000</f>
        <v>2694.5188794317546</v>
      </c>
      <c r="H46">
        <f>[1]!PropsSI("H","P",H44*1000000,"S",H42*1000,"REFPROP::Water")/1000</f>
        <v>2694.8684960319688</v>
      </c>
      <c r="I46" s="4">
        <f>[1]!PropsSI("H","P",I44*1000000,"S",I42*1000,"REFPROP::Water")/1000</f>
        <v>2699.8924602702282</v>
      </c>
      <c r="J46">
        <f>[1]!PropsSI("H","P",J44*1000000,"S",J42*1000,"REFPROP::Water")/1000</f>
        <v>2700.6634580275336</v>
      </c>
      <c r="K46">
        <f>[1]!PropsSI("H","P",K44*1000000,"S",K42*1000,"REFPROP::Water")/1000</f>
        <v>2700.8060984690055</v>
      </c>
      <c r="L46">
        <f>[1]!PropsSI("H","P",L44*1000000,"S",L42*1000,"REFPROP::Water")/1000</f>
        <v>2714.1184501326247</v>
      </c>
      <c r="M46">
        <f>[1]!PropsSI("H","P",M44*1000000,"S",M42*1000,"REFPROP::Water")/1000</f>
        <v>2713.999799323778</v>
      </c>
      <c r="N46">
        <f>[1]!PropsSI("H","P",N44*1000000,"S",N42*1000,"REFPROP::Water")/1000</f>
        <v>2666.9310879933705</v>
      </c>
      <c r="O46">
        <f>[1]!PropsSI("H","P",O44*1000000,"S",O42*1000,"REFPROP::Water")/1000</f>
        <v>2668.0315171117909</v>
      </c>
      <c r="P46">
        <f>[1]!PropsSI("H","P",P44*1000000,"S",P42*1000,"REFPROP::Water")/1000</f>
        <v>2644.3944749515931</v>
      </c>
      <c r="Q46">
        <f>[1]!PropsSI("H","P",Q44*1000000,"S",Q42*1000,"REFPROP::Water")/1000</f>
        <v>2601.0605711577655</v>
      </c>
      <c r="R46" s="6">
        <f>[1]!PropsSI("H","P",R44*1000000,"S",R42*1000,"REFPROP::Water")/1000</f>
        <v>2559.2234396654585</v>
      </c>
      <c r="S46">
        <f>[1]!PropsSI("H","P",S44*1000000,"S",S42*1000,"REFPROP::Water")/1000</f>
        <v>2555.6774460184906</v>
      </c>
      <c r="T46">
        <f>[1]!PropsSI("H","P",T44*1000000,"S",T42*1000,"REFPROP::Water")/1000</f>
        <v>2526.2181964109527</v>
      </c>
      <c r="U46">
        <f>[1]!PropsSI("H","P",U44*1000000,"S",U42*1000,"REFPROP::Water")/1000</f>
        <v>2530.0118108329307</v>
      </c>
      <c r="V46">
        <f>[1]!PropsSI("H","P",V44*1000000,"S",V42*1000,"REFPROP::Water")/1000</f>
        <v>2530.0118108329307</v>
      </c>
      <c r="W46">
        <f>[1]!PropsSI("H","P",W44*1000000,"S",W42*1000,"REFPROP::Water")/1000</f>
        <v>2667.6695807098699</v>
      </c>
      <c r="X46">
        <f>[1]!PropsSI("H","P",X44*1000000,"S",X42*1000,"REFPROP::Water")/1000</f>
        <v>2680.0507037938587</v>
      </c>
      <c r="Y46">
        <f>[1]!PropsSI("H","P",Y44*1000000,"S",Y42*1000,"REFPROP::Water")/1000</f>
        <v>2675.2336136313147</v>
      </c>
      <c r="Z46">
        <f>[1]!PropsSI("H","P",Z44*1000000,"S",Z42*1000,"REFPROP::Water")/1000</f>
        <v>2677.4832801412449</v>
      </c>
      <c r="AA46">
        <f>[1]!PropsSI("H","P",AA44*1000000,"S",AA42*1000,"REFPROP::Water")/1000</f>
        <v>2678.9546718524334</v>
      </c>
      <c r="AB46">
        <f>[1]!PropsSI("H","P",AB44*1000000,"S",AB42*1000,"REFPROP::Water")/1000</f>
        <v>2680.9391728173041</v>
      </c>
      <c r="AC46">
        <f>[1]!PropsSI("H","P",AC44*1000000,"S",AC42*1000,"REFPROP::Water")/1000</f>
        <v>2687.2075710582744</v>
      </c>
      <c r="AD46">
        <f>[1]!PropsSI("H","P",AD44*1000000,"S",AD42*1000,"REFPROP::Water")/1000</f>
        <v>2700.2267331025705</v>
      </c>
      <c r="AE46">
        <f>[1]!PropsSI("H","P",AE44*1000000,"S",AE42*1000,"REFPROP::Water")/1000</f>
        <v>2666.7599195736748</v>
      </c>
      <c r="AF46">
        <f>[1]!PropsSI("H","P",AF44*1000000,"S",AF42*1000,"REFPROP::Water")/1000</f>
        <v>2676.3584900746441</v>
      </c>
      <c r="AG46">
        <f>[1]!PropsSI("H","P",AG44*1000000,"S",AG42*1000,"REFPROP::Water")/1000</f>
        <v>2592.8408738050971</v>
      </c>
      <c r="AH46">
        <f>[1]!PropsSI("H","P",AH44*1000000,"S",AH42*1000,"REFPROP::Water")/1000</f>
        <v>2556.1068292555633</v>
      </c>
      <c r="AI46">
        <f>[1]!PropsSI("H","P",AI44*1000000,"S",AI42*1000,"REFPROP::Water")/1000</f>
        <v>2679.0345710714696</v>
      </c>
      <c r="AJ46">
        <f>[1]!PropsSI("H","P",AJ44*1000000,"S",AJ42*1000,"REFPROP::Water")/1000</f>
        <v>2692.2446134799989</v>
      </c>
      <c r="AK46">
        <f>[1]!PropsSI("H","P",AK44*1000000,"S",AK42*1000,"REFPROP::Water")/1000</f>
        <v>2679.72258807356</v>
      </c>
      <c r="AL46">
        <f>[1]!PropsSI("H","P",AL44*1000000,"S",AL42*1000,"REFPROP::Water")/1000</f>
        <v>2681.607445134634</v>
      </c>
      <c r="AM46">
        <f>[1]!PropsSI("H","P",AM44*1000000,"S",AM42*1000,"REFPROP::Water")/1000</f>
        <v>2684.7777904140048</v>
      </c>
      <c r="AN46">
        <f>[1]!PropsSI("H","P",AN44*1000000,"S",AN42*1000,"REFPROP::Water")/1000</f>
        <v>2686.223451612751</v>
      </c>
      <c r="AO46">
        <f>[1]!PropsSI("H","P",AO44*1000000,"S",AO42*1000,"REFPROP::Water")/1000</f>
        <v>2686.7278238725139</v>
      </c>
      <c r="AP46">
        <f>[1]!PropsSI("H","P",AP44*1000000,"S",AP42*1000,"REFPROP::Water")/1000</f>
        <v>2704.4856592130054</v>
      </c>
      <c r="AQ46">
        <f>[1]!PropsSI("H","P",AQ44*1000000,"S",AQ42*1000,"REFPROP::Water")/1000</f>
        <v>2656.7354426927191</v>
      </c>
      <c r="AR46">
        <f>[1]!PropsSI("H","P",AR44*1000000,"S",AR42*1000,"REFPROP::Water")/1000</f>
        <v>2659.4737822249926</v>
      </c>
      <c r="AS46">
        <f>[1]!PropsSI("H","P",AS44*1000000,"S",AS42*1000,"REFPROP::Water")/1000</f>
        <v>2583.6711833568538</v>
      </c>
      <c r="AT46">
        <f>[1]!PropsSI("H","P",AT44*1000000,"S",AT42*1000,"REFPROP::Water")/1000</f>
        <v>2543.3370932997768</v>
      </c>
      <c r="AU46">
        <f>[1]!PropsSI("H","P",AU44*1000000,"S",AU42*1000,"REFPROP::Water")/1000</f>
        <v>2685.1077268122531</v>
      </c>
      <c r="AV46">
        <f>[1]!PropsSI("H","P",AV44*1000000,"S",AV42*1000,"REFPROP::Water")/1000</f>
        <v>2707.0785972112458</v>
      </c>
    </row>
    <row r="47" spans="1:95" x14ac:dyDescent="0.35">
      <c r="A47" t="s">
        <v>109</v>
      </c>
      <c r="B47">
        <f t="shared" ref="B47:C47" si="10">IF((B41-B45)/(B41-B46)&gt;1,"-",(B41-B45)/(B41-B46))</f>
        <v>0.81488826727798014</v>
      </c>
      <c r="C47">
        <f t="shared" si="10"/>
        <v>0.8214612823509253</v>
      </c>
      <c r="D47">
        <f>IF((D41-D45)/(D41-D46)&gt;1,1,(D41-D45)/(D41-D46))</f>
        <v>1</v>
      </c>
      <c r="E47">
        <f t="shared" ref="E47:AV47" si="11">IF((E41-E45)/(E41-E46)&gt;1,1,(E41-E45)/(E41-E46))</f>
        <v>1</v>
      </c>
      <c r="F47">
        <f t="shared" si="11"/>
        <v>1</v>
      </c>
      <c r="G47">
        <f t="shared" si="11"/>
        <v>0.83345771138813052</v>
      </c>
      <c r="H47">
        <f t="shared" si="11"/>
        <v>0.83251028446690145</v>
      </c>
      <c r="I47" s="4">
        <f t="shared" si="11"/>
        <v>0.83200419003020298</v>
      </c>
      <c r="J47">
        <f t="shared" si="11"/>
        <v>0.83153010052247733</v>
      </c>
      <c r="K47">
        <f t="shared" si="11"/>
        <v>0.83099056929406678</v>
      </c>
      <c r="L47">
        <f t="shared" si="11"/>
        <v>0.83017163150008644</v>
      </c>
      <c r="M47">
        <f t="shared" si="11"/>
        <v>0.8281654596081941</v>
      </c>
      <c r="N47">
        <f t="shared" si="11"/>
        <v>1</v>
      </c>
      <c r="O47">
        <f t="shared" si="11"/>
        <v>1</v>
      </c>
      <c r="P47">
        <f t="shared" si="11"/>
        <v>1</v>
      </c>
      <c r="Q47">
        <f t="shared" si="11"/>
        <v>0.59733045914237459</v>
      </c>
      <c r="R47" s="6">
        <f t="shared" si="11"/>
        <v>0.55270342958432528</v>
      </c>
      <c r="S47">
        <f t="shared" si="11"/>
        <v>0.54965353160535546</v>
      </c>
      <c r="T47">
        <f t="shared" si="11"/>
        <v>0.54204091871244175</v>
      </c>
      <c r="U47">
        <f t="shared" si="11"/>
        <v>0.58129682627639734</v>
      </c>
      <c r="V47">
        <f t="shared" si="11"/>
        <v>0.58129682627639734</v>
      </c>
      <c r="W47">
        <f t="shared" si="11"/>
        <v>1</v>
      </c>
      <c r="X47">
        <f t="shared" si="11"/>
        <v>0.83060891735294662</v>
      </c>
      <c r="Y47">
        <f t="shared" si="11"/>
        <v>0.82572812234167015</v>
      </c>
      <c r="Z47">
        <f t="shared" si="11"/>
        <v>0.83058751639425632</v>
      </c>
      <c r="AA47">
        <f t="shared" si="11"/>
        <v>0.83034572645571036</v>
      </c>
      <c r="AB47">
        <f t="shared" si="11"/>
        <v>0.83259096711573577</v>
      </c>
      <c r="AC47">
        <f t="shared" si="11"/>
        <v>0.83112257168388537</v>
      </c>
      <c r="AD47">
        <f t="shared" si="11"/>
        <v>0.83060240082334869</v>
      </c>
      <c r="AE47">
        <f t="shared" si="11"/>
        <v>0.76866100341322041</v>
      </c>
      <c r="AF47">
        <f t="shared" si="11"/>
        <v>0.78866524265690041</v>
      </c>
      <c r="AG47">
        <f t="shared" si="11"/>
        <v>1</v>
      </c>
      <c r="AH47">
        <f t="shared" si="11"/>
        <v>0.59601991653806841</v>
      </c>
      <c r="AI47">
        <f t="shared" si="11"/>
        <v>0.83064004402705327</v>
      </c>
      <c r="AJ47">
        <f t="shared" si="11"/>
        <v>0.82978830482518307</v>
      </c>
      <c r="AK47">
        <f t="shared" si="11"/>
        <v>0.81863493107760765</v>
      </c>
      <c r="AL47">
        <f t="shared" si="11"/>
        <v>0.81898952598119046</v>
      </c>
      <c r="AM47">
        <f t="shared" si="11"/>
        <v>0.82065428299037357</v>
      </c>
      <c r="AN47">
        <f t="shared" si="11"/>
        <v>0.81932585780906475</v>
      </c>
      <c r="AO47">
        <f t="shared" si="11"/>
        <v>0.82894314767277844</v>
      </c>
      <c r="AP47">
        <f t="shared" si="11"/>
        <v>0.81749989063391204</v>
      </c>
      <c r="AQ47">
        <f t="shared" si="11"/>
        <v>0.74227970502833829</v>
      </c>
      <c r="AR47">
        <f t="shared" si="11"/>
        <v>0.77601871682553547</v>
      </c>
      <c r="AS47">
        <f t="shared" si="11"/>
        <v>0.6757572447354625</v>
      </c>
      <c r="AT47">
        <f t="shared" si="11"/>
        <v>1</v>
      </c>
      <c r="AU47">
        <f t="shared" si="11"/>
        <v>0.81817875042392907</v>
      </c>
      <c r="AV47">
        <f t="shared" si="11"/>
        <v>0.81849872567708715</v>
      </c>
    </row>
    <row r="48" spans="1:95" x14ac:dyDescent="0.35">
      <c r="A48" t="s">
        <v>124</v>
      </c>
      <c r="B48">
        <f t="shared" ref="B48:AV48" si="12">B38*B53</f>
        <v>29.741948083613163</v>
      </c>
      <c r="C48">
        <f t="shared" si="12"/>
        <v>29.793537259541758</v>
      </c>
      <c r="D48">
        <f t="shared" si="12"/>
        <v>29.818130063451054</v>
      </c>
      <c r="E48">
        <f t="shared" si="12"/>
        <v>29.789619496384045</v>
      </c>
      <c r="F48">
        <f t="shared" si="12"/>
        <v>29.796392671058118</v>
      </c>
      <c r="G48">
        <f t="shared" si="12"/>
        <v>29.863881497114612</v>
      </c>
      <c r="H48">
        <f t="shared" si="12"/>
        <v>29.889084622682144</v>
      </c>
      <c r="I48" s="4">
        <f t="shared" si="12"/>
        <v>30.009702337828614</v>
      </c>
      <c r="J48">
        <f t="shared" si="12"/>
        <v>30.017453161448355</v>
      </c>
      <c r="K48">
        <f t="shared" si="12"/>
        <v>30.03308318131894</v>
      </c>
      <c r="L48">
        <f t="shared" si="12"/>
        <v>30.34746839801992</v>
      </c>
      <c r="M48">
        <f t="shared" si="12"/>
        <v>30.27999435813939</v>
      </c>
      <c r="N48">
        <f t="shared" si="12"/>
        <v>30.184668654397569</v>
      </c>
      <c r="O48">
        <f t="shared" si="12"/>
        <v>30.126573908576209</v>
      </c>
      <c r="P48">
        <f t="shared" si="12"/>
        <v>30.88821444659208</v>
      </c>
      <c r="Q48">
        <f t="shared" si="12"/>
        <v>31.935044579851546</v>
      </c>
      <c r="R48" s="6">
        <f t="shared" si="12"/>
        <v>32.56641146921713</v>
      </c>
      <c r="S48">
        <f t="shared" si="12"/>
        <v>32.596219048548598</v>
      </c>
      <c r="T48">
        <f t="shared" si="12"/>
        <v>33.04682793511094</v>
      </c>
      <c r="U48">
        <f t="shared" si="12"/>
        <v>33.400197701152315</v>
      </c>
      <c r="V48">
        <f t="shared" si="12"/>
        <v>33.404781233154665</v>
      </c>
      <c r="W48">
        <f t="shared" si="12"/>
        <v>31.005981269460836</v>
      </c>
      <c r="X48">
        <f t="shared" si="12"/>
        <v>31.31249666296349</v>
      </c>
      <c r="Y48">
        <f t="shared" si="12"/>
        <v>30.391621337785995</v>
      </c>
      <c r="Z48">
        <f t="shared" si="12"/>
        <v>30.409717616825372</v>
      </c>
      <c r="AA48">
        <f t="shared" si="12"/>
        <v>30.441706164849233</v>
      </c>
      <c r="AB48">
        <f t="shared" si="12"/>
        <v>30.442476581311197</v>
      </c>
      <c r="AC48">
        <f t="shared" si="12"/>
        <v>30.610652921867725</v>
      </c>
      <c r="AD48">
        <f t="shared" si="12"/>
        <v>30.903873114178349</v>
      </c>
      <c r="AE48">
        <f t="shared" si="12"/>
        <v>30.265885086480584</v>
      </c>
      <c r="AF48">
        <f t="shared" si="12"/>
        <v>30.172364469810812</v>
      </c>
      <c r="AG48">
        <f t="shared" si="12"/>
        <v>32.063673590427598</v>
      </c>
      <c r="AH48">
        <f t="shared" si="12"/>
        <v>32.55514076543362</v>
      </c>
      <c r="AI48">
        <f t="shared" si="12"/>
        <v>30.863036740481288</v>
      </c>
      <c r="AJ48">
        <f t="shared" si="12"/>
        <v>31.150753632331774</v>
      </c>
      <c r="AK48">
        <f t="shared" si="12"/>
        <v>30.55908503798139</v>
      </c>
      <c r="AL48">
        <f t="shared" si="12"/>
        <v>30.556835177770481</v>
      </c>
      <c r="AM48">
        <f t="shared" si="12"/>
        <v>30.646114574938959</v>
      </c>
      <c r="AN48">
        <f t="shared" si="12"/>
        <v>30.713431977341756</v>
      </c>
      <c r="AO48">
        <f t="shared" si="12"/>
        <v>30.727339667166483</v>
      </c>
      <c r="AP48">
        <f t="shared" si="12"/>
        <v>31.088722334147899</v>
      </c>
      <c r="AQ48">
        <f t="shared" si="12"/>
        <v>30.704678843818282</v>
      </c>
      <c r="AR48">
        <f t="shared" si="12"/>
        <v>30.920554262714571</v>
      </c>
      <c r="AS48">
        <f t="shared" si="12"/>
        <v>32.473707295469787</v>
      </c>
      <c r="AT48">
        <f t="shared" si="12"/>
        <v>32.859944192627403</v>
      </c>
      <c r="AU48">
        <f t="shared" si="12"/>
        <v>30.984549972073211</v>
      </c>
      <c r="AV48">
        <f t="shared" si="12"/>
        <v>31.019671197241571</v>
      </c>
    </row>
    <row r="49" spans="1:95" x14ac:dyDescent="0.35">
      <c r="A49" t="s">
        <v>125</v>
      </c>
      <c r="B49">
        <f t="shared" ref="B49:AV49" si="13">B38*B55</f>
        <v>42.61658328697272</v>
      </c>
      <c r="C49">
        <f t="shared" si="13"/>
        <v>42.635519862033711</v>
      </c>
      <c r="D49">
        <f t="shared" si="13"/>
        <v>14.950791712402726</v>
      </c>
      <c r="E49">
        <f t="shared" si="13"/>
        <v>14.937174632008944</v>
      </c>
      <c r="F49">
        <f t="shared" si="13"/>
        <v>14.941268048615786</v>
      </c>
      <c r="G49">
        <f t="shared" si="13"/>
        <v>42.697869556119571</v>
      </c>
      <c r="H49">
        <f t="shared" si="13"/>
        <v>42.724768596905101</v>
      </c>
      <c r="I49" s="4">
        <f t="shared" si="13"/>
        <v>42.927255859176306</v>
      </c>
      <c r="J49">
        <f t="shared" si="13"/>
        <v>42.943141656289868</v>
      </c>
      <c r="K49">
        <f t="shared" si="13"/>
        <v>42.950359079210592</v>
      </c>
      <c r="L49">
        <f t="shared" si="13"/>
        <v>43.393303941381781</v>
      </c>
      <c r="M49">
        <f t="shared" si="13"/>
        <v>43.294806568952687</v>
      </c>
      <c r="N49">
        <f t="shared" si="13"/>
        <v>15.132998629984064</v>
      </c>
      <c r="O49">
        <f t="shared" si="13"/>
        <v>15.104885465679807</v>
      </c>
      <c r="P49">
        <f t="shared" si="13"/>
        <v>15.486221130993336</v>
      </c>
      <c r="Q49">
        <f t="shared" si="13"/>
        <v>62.978993635869003</v>
      </c>
      <c r="R49" s="6">
        <f t="shared" si="13"/>
        <v>77.092160295934207</v>
      </c>
      <c r="S49">
        <f t="shared" si="13"/>
        <v>78.4357397399354</v>
      </c>
      <c r="T49">
        <f t="shared" si="13"/>
        <v>92.822193651358234</v>
      </c>
      <c r="U49">
        <f t="shared" si="13"/>
        <v>95.809647018279406</v>
      </c>
      <c r="V49">
        <f t="shared" si="13"/>
        <v>95.82279504174835</v>
      </c>
      <c r="W49">
        <f t="shared" si="13"/>
        <v>15.543706705220419</v>
      </c>
      <c r="X49">
        <f t="shared" si="13"/>
        <v>48.798291017207994</v>
      </c>
      <c r="Y49">
        <f t="shared" si="13"/>
        <v>46.029001326366611</v>
      </c>
      <c r="Z49">
        <f t="shared" si="13"/>
        <v>45.916003781591471</v>
      </c>
      <c r="AA49">
        <f t="shared" si="13"/>
        <v>46.05726642984952</v>
      </c>
      <c r="AB49">
        <f t="shared" si="13"/>
        <v>46.012418260969092</v>
      </c>
      <c r="AC49">
        <f t="shared" si="13"/>
        <v>46.24510873913102</v>
      </c>
      <c r="AD49">
        <f t="shared" si="13"/>
        <v>46.644899669831211</v>
      </c>
      <c r="AE49">
        <f t="shared" si="13"/>
        <v>47.592397789584275</v>
      </c>
      <c r="AF49">
        <f t="shared" si="13"/>
        <v>46.155149871402912</v>
      </c>
      <c r="AG49">
        <f t="shared" si="13"/>
        <v>16.067424427810511</v>
      </c>
      <c r="AH49">
        <f t="shared" si="13"/>
        <v>79.83589145004477</v>
      </c>
      <c r="AI49">
        <f t="shared" si="13"/>
        <v>47.697761652519233</v>
      </c>
      <c r="AJ49">
        <f t="shared" si="13"/>
        <v>48.045607233249243</v>
      </c>
      <c r="AK49">
        <f t="shared" si="13"/>
        <v>46.302434557960204</v>
      </c>
      <c r="AL49">
        <f t="shared" si="13"/>
        <v>46.290885231950497</v>
      </c>
      <c r="AM49">
        <f t="shared" si="13"/>
        <v>46.37388019508905</v>
      </c>
      <c r="AN49">
        <f t="shared" si="13"/>
        <v>46.482776912907184</v>
      </c>
      <c r="AO49">
        <f t="shared" si="13"/>
        <v>46.477704217549899</v>
      </c>
      <c r="AP49">
        <f t="shared" si="13"/>
        <v>47.007853500893518</v>
      </c>
      <c r="AQ49">
        <f t="shared" si="13"/>
        <v>50.675088380209012</v>
      </c>
      <c r="AR49">
        <f t="shared" si="13"/>
        <v>50.449082827646144</v>
      </c>
      <c r="AS49">
        <f t="shared" si="13"/>
        <v>70.853974923190236</v>
      </c>
      <c r="AT49">
        <f t="shared" si="13"/>
        <v>16.458522997598919</v>
      </c>
      <c r="AU49">
        <f t="shared" si="13"/>
        <v>47.801780007409228</v>
      </c>
      <c r="AV49">
        <f t="shared" si="13"/>
        <v>46.592128284664248</v>
      </c>
      <c r="BI49">
        <f t="shared" ref="BI49" si="14">$I$49-(N49-$I$49)</f>
        <v>70.721513088368539</v>
      </c>
      <c r="BJ49">
        <f t="shared" ref="BJ49" si="15">$I$49-(O49-$I$49)</f>
        <v>70.749626252672812</v>
      </c>
      <c r="BK49">
        <f t="shared" ref="BK49" si="16">$I$49-(P49-$I$49)</f>
        <v>70.368290587359269</v>
      </c>
      <c r="BL49">
        <f t="shared" ref="BL49" si="17">$I$49-(Q49-$I$49)</f>
        <v>22.875518082483609</v>
      </c>
      <c r="BM49">
        <f t="shared" ref="BM49" si="18">$I$49-(R49-$I$49)</f>
        <v>8.7623514224184049</v>
      </c>
      <c r="BN49">
        <f t="shared" ref="BN49" si="19">$I$49-(S49-$I$49)</f>
        <v>7.4187719784172117</v>
      </c>
      <c r="BO49">
        <f t="shared" ref="BO49" si="20">$I$49-(T49-$I$49)</f>
        <v>-6.9676819330056219</v>
      </c>
      <c r="BP49">
        <f t="shared" ref="BP49" si="21">$I$49-(U49-$I$49)</f>
        <v>-9.9551352999267948</v>
      </c>
      <c r="BQ49">
        <f t="shared" ref="BQ49" si="22">$I$49-(V49-$I$49)</f>
        <v>-9.9682833233957382</v>
      </c>
      <c r="BR49">
        <f t="shared" ref="BR49" si="23">$I$49-(W49-$I$49)</f>
        <v>70.310805013132196</v>
      </c>
      <c r="BS49">
        <f t="shared" ref="BS49" si="24">$I$49-(X49-$I$49)</f>
        <v>37.056220701144618</v>
      </c>
      <c r="CB49">
        <f t="shared" ref="CB49" si="25">$I$49-(AG49-$I$49)</f>
        <v>69.787087290542104</v>
      </c>
      <c r="CC49">
        <f t="shared" ref="CC49" si="26">$I$49-(AH49-$I$49)</f>
        <v>6.018620268307842</v>
      </c>
      <c r="CD49">
        <f t="shared" ref="CD49" si="27">$I$49-(AI49-$I$49)</f>
        <v>38.156750065833378</v>
      </c>
      <c r="CE49">
        <f t="shared" ref="CE49" si="28">$I$49-(AJ49-$I$49)</f>
        <v>37.808904485103369</v>
      </c>
      <c r="CL49">
        <f t="shared" ref="CL49" si="29">$I$49-(AQ49-$I$49)</f>
        <v>35.1794233381436</v>
      </c>
      <c r="CM49">
        <f t="shared" ref="CM49" si="30">$I$49-(AR49-$I$49)</f>
        <v>35.405428890706467</v>
      </c>
      <c r="CN49">
        <f t="shared" ref="CN49" si="31">$I$49-(AS49-$I$49)</f>
        <v>15.000536795162375</v>
      </c>
      <c r="CO49">
        <f t="shared" ref="CO49" si="32">$I$49-(AT49-$I$49)</f>
        <v>69.395988720753692</v>
      </c>
      <c r="CP49">
        <f t="shared" ref="CP49" si="33">$I$49-(AU49-$I$49)</f>
        <v>38.052731710943384</v>
      </c>
      <c r="CQ49">
        <f t="shared" ref="CQ49" si="34">$I$49-(AV49-$I$49)</f>
        <v>39.262383433688363</v>
      </c>
    </row>
    <row r="50" spans="1:95" x14ac:dyDescent="0.35">
      <c r="A50" t="s">
        <v>126</v>
      </c>
      <c r="B50">
        <f t="shared" ref="B50" si="35">B49/$I$49</f>
        <v>0.99276281313618664</v>
      </c>
      <c r="C50">
        <f t="shared" ref="C50" si="36">C49/$I$49</f>
        <v>0.9932039448759632</v>
      </c>
      <c r="D50">
        <f t="shared" ref="D50" si="37">D49/$I$49</f>
        <v>0.34828202765741856</v>
      </c>
      <c r="E50">
        <f t="shared" ref="E50" si="38">E49/$I$49</f>
        <v>0.34796481473240765</v>
      </c>
      <c r="F50">
        <f t="shared" ref="F50" si="39">F49/$I$49</f>
        <v>0.34806017178528498</v>
      </c>
      <c r="G50">
        <f t="shared" ref="G50" si="40">G49/$I$49</f>
        <v>0.99465639490655444</v>
      </c>
      <c r="H50">
        <f t="shared" ref="H50" si="41">H49/$I$49</f>
        <v>0.99528301406138164</v>
      </c>
      <c r="I50" s="4">
        <f t="shared" ref="I50" si="42">I49/$I$49</f>
        <v>1</v>
      </c>
      <c r="J50">
        <f t="shared" ref="J50" si="43">J49/$I$49</f>
        <v>1.0003700631870267</v>
      </c>
      <c r="K50">
        <f t="shared" ref="K50" si="44">K49/$I$49</f>
        <v>1.0005381946637837</v>
      </c>
      <c r="L50">
        <f t="shared" ref="L50" si="45">L49/$I$49</f>
        <v>1.0108566940252215</v>
      </c>
      <c r="M50">
        <f t="shared" ref="M50" si="46">M49/$I$49</f>
        <v>1.0085621757650229</v>
      </c>
      <c r="N50">
        <f t="shared" ref="N50" si="47">N49/$I$49</f>
        <v>0.35252657844303298</v>
      </c>
      <c r="O50">
        <f t="shared" ref="O50" si="48">O49/$I$49</f>
        <v>0.35187167601003139</v>
      </c>
      <c r="P50">
        <f t="shared" ref="P50" si="49">P49/$I$49</f>
        <v>0.36075497538897394</v>
      </c>
      <c r="Q50">
        <f t="shared" ref="Q50" si="50">Q49/$I$49</f>
        <v>1.4671097039715935</v>
      </c>
      <c r="R50" s="6">
        <f t="shared" ref="R50" si="51">R49/$I$49</f>
        <v>1.7958790692057403</v>
      </c>
      <c r="S50">
        <f t="shared" ref="S50" si="52">S49/$I$49</f>
        <v>1.8271780520340122</v>
      </c>
      <c r="T50">
        <f t="shared" ref="T50" si="53">T49/$I$49</f>
        <v>2.1623137047442129</v>
      </c>
      <c r="U50">
        <f t="shared" ref="U50" si="54">U49/$I$49</f>
        <v>2.2319070972667063</v>
      </c>
      <c r="V50">
        <f t="shared" ref="V50" si="55">V49/$I$49</f>
        <v>2.232213383406032</v>
      </c>
      <c r="W50">
        <f t="shared" ref="W50" si="56">W49/$I$49</f>
        <v>0.36209411466253166</v>
      </c>
      <c r="X50">
        <f t="shared" ref="X50" si="57">X49/$I$49</f>
        <v>1.1367670735183197</v>
      </c>
      <c r="Y50">
        <f t="shared" ref="Y50" si="58">Y49/$I$49</f>
        <v>1.0722558524906796</v>
      </c>
      <c r="Z50">
        <f t="shared" ref="Z50" si="59">Z49/$I$49</f>
        <v>1.0696235494814719</v>
      </c>
      <c r="AA50">
        <f t="shared" ref="AA50" si="60">AA49/$I$49</f>
        <v>1.0729142943807373</v>
      </c>
      <c r="AB50">
        <f t="shared" ref="AB50" si="61">AB49/$I$49</f>
        <v>1.0718695462834551</v>
      </c>
      <c r="AC50">
        <f t="shared" ref="AC50" si="62">AC49/$I$49</f>
        <v>1.0772901228729597</v>
      </c>
      <c r="AD50">
        <f t="shared" ref="AD50" si="63">AD49/$I$49</f>
        <v>1.086603341775461</v>
      </c>
      <c r="AE50">
        <f t="shared" ref="AE50" si="64">AE49/$I$49</f>
        <v>1.1086755218109459</v>
      </c>
      <c r="AF50">
        <f t="shared" ref="AF50" si="65">AF49/$I$49</f>
        <v>1.0751945109842516</v>
      </c>
      <c r="AG50">
        <f t="shared" ref="AG50" si="66">AG49/$I$49</f>
        <v>0.37429423582350591</v>
      </c>
      <c r="AH50">
        <f t="shared" ref="AH50" si="67">AH49/$I$49</f>
        <v>1.8597948984195021</v>
      </c>
      <c r="AI50">
        <f t="shared" ref="AI50" si="68">AI49/$I$49</f>
        <v>1.1111299964990229</v>
      </c>
      <c r="AJ50">
        <f t="shared" ref="AJ50" si="69">AJ49/$I$49</f>
        <v>1.1192331368877571</v>
      </c>
      <c r="AK50">
        <f t="shared" ref="AK50" si="70">AK49/$I$49</f>
        <v>1.0786255406088905</v>
      </c>
      <c r="AL50">
        <f t="shared" ref="AL50" si="71">AL49/$I$49</f>
        <v>1.0783564964834613</v>
      </c>
      <c r="AM50">
        <f t="shared" ref="AM50" si="72">AM49/$I$49</f>
        <v>1.0802898826614835</v>
      </c>
      <c r="AN50">
        <f t="shared" ref="AN50" si="73">AN49/$I$49</f>
        <v>1.0828266559920539</v>
      </c>
      <c r="AO50">
        <f t="shared" ref="AO50" si="74">AO49/$I$49</f>
        <v>1.0827084864222607</v>
      </c>
      <c r="AP50">
        <f t="shared" ref="AP50" si="75">AP49/$I$49</f>
        <v>1.0950584322255235</v>
      </c>
      <c r="AQ50">
        <f t="shared" ref="AQ50" si="76">AQ49/$I$49</f>
        <v>1.1804874867019131</v>
      </c>
      <c r="AR50">
        <f t="shared" ref="AR50" si="77">AR49/$I$49</f>
        <v>1.1752226369452856</v>
      </c>
      <c r="AS50">
        <f t="shared" ref="AS50" si="78">AS49/$I$49</f>
        <v>1.6505591495442447</v>
      </c>
      <c r="AT50">
        <f t="shared" ref="AT50" si="79">AT49/$I$49</f>
        <v>0.38340496423976933</v>
      </c>
      <c r="AU50">
        <f t="shared" ref="AU50" si="80">AU49/$I$49</f>
        <v>1.1135531272770822</v>
      </c>
      <c r="AV50">
        <f t="shared" ref="AV50" si="81">AV49/$I$49</f>
        <v>1.0853740205875406</v>
      </c>
      <c r="BI50">
        <f t="shared" ref="BI50" si="82">BI49/$I$49</f>
        <v>1.6474734215569669</v>
      </c>
      <c r="BJ50">
        <f t="shared" ref="BJ50" si="83">BJ49/$I$49</f>
        <v>1.6481283239899687</v>
      </c>
      <c r="BK50">
        <f t="shared" ref="BK50" si="84">BK49/$I$49</f>
        <v>1.6392450246110259</v>
      </c>
      <c r="BL50">
        <f t="shared" ref="BL50" si="85">BL49/$I$49</f>
        <v>0.53289029602840654</v>
      </c>
      <c r="BM50">
        <f t="shared" ref="BM50" si="86">BM49/$I$49</f>
        <v>0.20412093079425966</v>
      </c>
      <c r="BN50">
        <f t="shared" ref="BN50" si="87">BN49/$I$49</f>
        <v>0.17282194796598779</v>
      </c>
      <c r="BO50">
        <f t="shared" ref="BO50" si="88">BO49/$I$49</f>
        <v>-0.16231370474421281</v>
      </c>
      <c r="BP50">
        <f t="shared" ref="BP50" si="89">BP49/$I$49</f>
        <v>-0.23190709726670647</v>
      </c>
      <c r="BQ50">
        <f t="shared" ref="BQ50" si="90">BQ49/$I$49</f>
        <v>-0.23221338340603193</v>
      </c>
      <c r="BR50">
        <f t="shared" ref="BR50" si="91">BR49/$I$49</f>
        <v>1.6379058853374684</v>
      </c>
      <c r="BS50">
        <f t="shared" ref="BS50" si="92">BS49/$I$49</f>
        <v>0.86323292648168026</v>
      </c>
      <c r="CB50">
        <f t="shared" ref="CB50" si="93">CB49/$I$49</f>
        <v>1.6257057641764943</v>
      </c>
      <c r="CC50">
        <f t="shared" ref="CC50" si="94">CC49/$I$49</f>
        <v>0.14020510158049801</v>
      </c>
      <c r="CD50">
        <f t="shared" ref="CD50" si="95">CD49/$I$49</f>
        <v>0.888870003500977</v>
      </c>
      <c r="CE50">
        <f t="shared" ref="CE50" si="96">CE49/$I$49</f>
        <v>0.88076686311224306</v>
      </c>
      <c r="CL50">
        <f t="shared" ref="CL50" si="97">CL49/$I$49</f>
        <v>0.81951251329808683</v>
      </c>
      <c r="CM50">
        <f t="shared" ref="CM50" si="98">CM49/$I$49</f>
        <v>0.82477736305471427</v>
      </c>
      <c r="CN50">
        <f t="shared" ref="CN50" si="99">CN49/$I$49</f>
        <v>0.34944085045575535</v>
      </c>
      <c r="CO50">
        <f t="shared" ref="CO50" si="100">CO49/$I$49</f>
        <v>1.6165950357602308</v>
      </c>
      <c r="CP50">
        <f t="shared" ref="CP50" si="101">CP49/$I$49</f>
        <v>0.88644687272291778</v>
      </c>
      <c r="CQ50">
        <f t="shared" ref="CQ50" si="102">CQ49/$I$49</f>
        <v>0.91462597941245938</v>
      </c>
    </row>
    <row r="51" spans="1:95" x14ac:dyDescent="0.35">
      <c r="B51">
        <f t="shared" ref="B51" si="103">B47/$I$47</f>
        <v>0.97942808106338797</v>
      </c>
      <c r="C51">
        <f t="shared" ref="C51:AV51" si="104">C47/$I$47</f>
        <v>0.98732829977827996</v>
      </c>
      <c r="G51">
        <f t="shared" si="104"/>
        <v>1.0017470120647767</v>
      </c>
      <c r="H51">
        <f t="shared" si="104"/>
        <v>1.0006082835191974</v>
      </c>
      <c r="I51" s="4">
        <f t="shared" si="104"/>
        <v>1</v>
      </c>
      <c r="J51">
        <f t="shared" si="104"/>
        <v>0.99943018374978565</v>
      </c>
      <c r="K51">
        <f t="shared" si="104"/>
        <v>0.99878171198140309</v>
      </c>
      <c r="L51">
        <f t="shared" si="104"/>
        <v>0.99779741670525723</v>
      </c>
      <c r="M51">
        <f t="shared" si="104"/>
        <v>0.99538616455540985</v>
      </c>
      <c r="Q51">
        <f t="shared" si="104"/>
        <v>0.71794164777065683</v>
      </c>
      <c r="R51" s="6">
        <f t="shared" si="104"/>
        <v>0.66430366121625095</v>
      </c>
      <c r="S51">
        <f t="shared" si="104"/>
        <v>0.6606379369139983</v>
      </c>
      <c r="T51">
        <f t="shared" si="104"/>
        <v>0.65148820788121853</v>
      </c>
      <c r="U51">
        <f t="shared" si="104"/>
        <v>0.6986705514731788</v>
      </c>
      <c r="V51">
        <f t="shared" si="104"/>
        <v>0.6986705514731788</v>
      </c>
      <c r="X51">
        <f t="shared" si="104"/>
        <v>0.99832299801614499</v>
      </c>
      <c r="Y51">
        <f t="shared" si="104"/>
        <v>0.99245668740165238</v>
      </c>
      <c r="Z51">
        <f t="shared" si="104"/>
        <v>0.99829727583956607</v>
      </c>
      <c r="AA51">
        <f t="shared" si="104"/>
        <v>0.99800666439620644</v>
      </c>
      <c r="AB51">
        <f t="shared" si="104"/>
        <v>1.000705257368369</v>
      </c>
      <c r="AC51">
        <f t="shared" si="104"/>
        <v>0.99894036790092899</v>
      </c>
      <c r="AD51">
        <f t="shared" si="104"/>
        <v>0.99831516568828405</v>
      </c>
      <c r="AE51">
        <f t="shared" si="104"/>
        <v>0.92386674565342863</v>
      </c>
      <c r="AF51">
        <f t="shared" si="104"/>
        <v>0.94791018135169569</v>
      </c>
      <c r="AH51">
        <f t="shared" si="104"/>
        <v>0.71636648430392158</v>
      </c>
      <c r="AI51">
        <f t="shared" si="104"/>
        <v>0.99836040969565287</v>
      </c>
      <c r="AJ51">
        <f t="shared" si="104"/>
        <v>0.99733668984895441</v>
      </c>
      <c r="AK51">
        <f t="shared" si="104"/>
        <v>0.98393126006719989</v>
      </c>
      <c r="AL51">
        <f t="shared" si="104"/>
        <v>0.98435745371842409</v>
      </c>
      <c r="AM51">
        <f t="shared" si="104"/>
        <v>0.98635835350851131</v>
      </c>
      <c r="AN51">
        <f t="shared" si="104"/>
        <v>0.98476169666804447</v>
      </c>
      <c r="AO51">
        <f t="shared" si="104"/>
        <v>0.99632088107956107</v>
      </c>
      <c r="AP51">
        <f t="shared" si="104"/>
        <v>0.98256703563504355</v>
      </c>
      <c r="AQ51">
        <f t="shared" si="104"/>
        <v>0.89215861401057661</v>
      </c>
      <c r="AR51">
        <f t="shared" si="104"/>
        <v>0.93271010666107923</v>
      </c>
      <c r="AS51">
        <f t="shared" si="104"/>
        <v>0.81220413650913403</v>
      </c>
      <c r="AU51">
        <f t="shared" si="104"/>
        <v>0.98338296877354425</v>
      </c>
      <c r="AV51">
        <f t="shared" si="104"/>
        <v>0.98376755247755954</v>
      </c>
      <c r="BL51">
        <f t="shared" ref="BL51" si="105">Q51</f>
        <v>0.71794164777065683</v>
      </c>
      <c r="BM51">
        <f t="shared" ref="BM51" si="106">R51</f>
        <v>0.66430366121625095</v>
      </c>
      <c r="BN51">
        <f t="shared" ref="BN51" si="107">S51</f>
        <v>0.6606379369139983</v>
      </c>
      <c r="BO51">
        <f t="shared" ref="BO51" si="108">T51</f>
        <v>0.65148820788121853</v>
      </c>
      <c r="BP51">
        <f t="shared" ref="BP51" si="109">U51</f>
        <v>0.6986705514731788</v>
      </c>
      <c r="BQ51">
        <f t="shared" ref="BQ51" si="110">V51</f>
        <v>0.6986705514731788</v>
      </c>
      <c r="BS51">
        <f t="shared" ref="BS51" si="111">X51</f>
        <v>0.99832299801614499</v>
      </c>
      <c r="CC51">
        <f t="shared" ref="CC51" si="112">AH51</f>
        <v>0.71636648430392158</v>
      </c>
      <c r="CD51">
        <f t="shared" ref="CD51" si="113">AI51</f>
        <v>0.99836040969565287</v>
      </c>
      <c r="CE51">
        <f t="shared" ref="CE51" si="114">AJ51</f>
        <v>0.99733668984895441</v>
      </c>
      <c r="CL51">
        <f t="shared" ref="CL51" si="115">AQ51</f>
        <v>0.89215861401057661</v>
      </c>
      <c r="CM51">
        <f t="shared" ref="CM51" si="116">AR51</f>
        <v>0.93271010666107923</v>
      </c>
      <c r="CN51">
        <f t="shared" ref="CN51" si="117">AS51</f>
        <v>0.81220413650913403</v>
      </c>
      <c r="CP51">
        <f t="shared" ref="CP51" si="118">AU51</f>
        <v>0.98338296877354425</v>
      </c>
      <c r="CQ51">
        <f t="shared" ref="CQ51" si="119">AV51</f>
        <v>0.98376755247755954</v>
      </c>
    </row>
    <row r="52" spans="1:95" x14ac:dyDescent="0.35">
      <c r="A52" t="s">
        <v>113</v>
      </c>
      <c r="I52" s="4"/>
    </row>
    <row r="53" spans="1:95" x14ac:dyDescent="0.35">
      <c r="A53" t="s">
        <v>121</v>
      </c>
      <c r="B53">
        <f>1/[1]!PropsSI("D","P",B40*1000000,"T",B39+273.15,"REFPROP::Water")</f>
        <v>0.3876687706414646</v>
      </c>
      <c r="C53">
        <f>1/[1]!PropsSI("D","P",C40*1000000,"T",C39+273.15,"REFPROP::Water")</f>
        <v>0.3894580033927027</v>
      </c>
      <c r="D53">
        <f>1/[1]!PropsSI("D","P",D40*1000000,"T",D39+273.15,"REFPROP::Water")</f>
        <v>0.38145234825957597</v>
      </c>
      <c r="E53">
        <f>1/[1]!PropsSI("D","P",E40*1000000,"T",E39+273.15,"REFPROP::Water")</f>
        <v>0.3755151833654865</v>
      </c>
      <c r="F53">
        <f>1/[1]!PropsSI("D","P",F40*1000000,"T",F39+273.15,"REFPROP::Water")</f>
        <v>0.3696364306048644</v>
      </c>
      <c r="G53">
        <f>1/[1]!PropsSI("D","P",G40*1000000,"T",G39+273.15,"REFPROP::Water")</f>
        <v>0.37508014942369516</v>
      </c>
      <c r="H53">
        <f>1/[1]!PropsSI("D","P",H40*1000000,"T",H39+273.15,"REFPROP::Water")</f>
        <v>0.37586877040596262</v>
      </c>
      <c r="I53" s="4">
        <f>1/[1]!PropsSI("D","P",I40*1000000,"T",I39+273.15,"REFPROP::Water")</f>
        <v>0.38395217934785841</v>
      </c>
      <c r="J53">
        <f>1/[1]!PropsSI("D","P",J40*1000000,"T",J39+273.15,"REFPROP::Water")</f>
        <v>0.39075049676449308</v>
      </c>
      <c r="K53">
        <f>1/[1]!PropsSI("D","P",K40*1000000,"T",K39+273.15,"REFPROP::Water")</f>
        <v>0.39075049676449308</v>
      </c>
      <c r="L53">
        <f>1/[1]!PropsSI("D","P",L40*1000000,"T",L39+273.15,"REFPROP::Water")</f>
        <v>0.41606071288757773</v>
      </c>
      <c r="M53">
        <f>1/[1]!PropsSI("D","P",M40*1000000,"T",M39+273.15,"REFPROP::Water")</f>
        <v>0.41513565064627628</v>
      </c>
      <c r="N53">
        <f>1/[1]!PropsSI("D","P",N40*1000000,"T",N39+273.15,"REFPROP::Water")</f>
        <v>0.39441615908006755</v>
      </c>
      <c r="O53">
        <f>1/[1]!PropsSI("D","P",O40*1000000,"T",O39+273.15,"REFPROP::Water")</f>
        <v>0.38515180143922539</v>
      </c>
      <c r="P53">
        <f>1/[1]!PropsSI("D","P",P40*1000000,"T",P39+273.15,"REFPROP::Water")</f>
        <v>0.38857987730018972</v>
      </c>
      <c r="Q53">
        <f>1/[1]!PropsSI("D","P",Q40*1000000,"T",Q39+273.15,"REFPROP::Water")</f>
        <v>0.39450333020199563</v>
      </c>
      <c r="R53" s="6">
        <f>1/[1]!PropsSI("D","P",R40*1000000,"T",R39+273.15,"REFPROP::Water")</f>
        <v>0.40697839876552278</v>
      </c>
      <c r="S53">
        <f>1/[1]!PropsSI("D","P",S40*1000000,"T",S39+273.15,"REFPROP::Water")</f>
        <v>0.40780957148190411</v>
      </c>
      <c r="T53">
        <f>1/[1]!PropsSI("D","P",T40*1000000,"T",T39+273.15,"REFPROP::Water")</f>
        <v>0.42895674889811708</v>
      </c>
      <c r="U53">
        <f>1/[1]!PropsSI("D","P",U40*1000000,"T",U39+273.15,"REFPROP::Water")</f>
        <v>0.45835320023538234</v>
      </c>
      <c r="V53">
        <f>1/[1]!PropsSI("D","P",V40*1000000,"T",V39+273.15,"REFPROP::Water")</f>
        <v>0.45835320023538234</v>
      </c>
      <c r="W53">
        <f>1/[1]!PropsSI("D","P",W40*1000000,"T",W39+273.15,"REFPROP::Water")</f>
        <v>0.4040393702040766</v>
      </c>
      <c r="X53">
        <f>1/[1]!PropsSI("D","P",X40*1000000,"T",X39+273.15,"REFPROP::Water")</f>
        <v>0.43136102304674873</v>
      </c>
      <c r="Y53">
        <f>1/[1]!PropsSI("D","P",Y40*1000000,"T",Y39+273.15,"REFPROP::Water")</f>
        <v>0.47302134377877036</v>
      </c>
      <c r="Z53">
        <f>1/[1]!PropsSI("D","P",Z40*1000000,"T",Z39+273.15,"REFPROP::Water")</f>
        <v>0.46349211426345638</v>
      </c>
      <c r="AA53">
        <f>1/[1]!PropsSI("D","P",AA40*1000000,"T",AA39+273.15,"REFPROP::Water")</f>
        <v>0.44892650294719411</v>
      </c>
      <c r="AB53">
        <f>1/[1]!PropsSI("D","P",AB40*1000000,"T",AB39+273.15,"REFPROP::Water")</f>
        <v>0.45287825916856883</v>
      </c>
      <c r="AC53">
        <f>1/[1]!PropsSI("D","P",AC40*1000000,"T",AC39+273.15,"REFPROP::Water")</f>
        <v>0.47173143661377293</v>
      </c>
      <c r="AD53">
        <f>1/[1]!PropsSI("D","P",AD40*1000000,"T",AD39+273.15,"REFPROP::Water")</f>
        <v>0.50209379551873845</v>
      </c>
      <c r="AE53">
        <f>1/[1]!PropsSI("D","P",AE40*1000000,"T",AE39+273.15,"REFPROP::Water")</f>
        <v>0.47128441430209567</v>
      </c>
      <c r="AF53">
        <f>1/[1]!PropsSI("D","P",AF40*1000000,"T",AF39+273.15,"REFPROP::Water")</f>
        <v>0.46008485010385503</v>
      </c>
      <c r="AG53">
        <f>1/[1]!PropsSI("D","P",AG40*1000000,"T",AG39+273.15,"REFPROP::Water")</f>
        <v>0.47131667779549608</v>
      </c>
      <c r="AH53">
        <f>1/[1]!PropsSI("D","P",AH40*1000000,"T",AH39+273.15,"REFPROP::Water")</f>
        <v>0.48229838171012773</v>
      </c>
      <c r="AI53">
        <f>1/[1]!PropsSI("D","P",AI40*1000000,"T",AI39+273.15,"REFPROP::Water")</f>
        <v>0.47540105884906481</v>
      </c>
      <c r="AJ53">
        <f>1/[1]!PropsSI("D","P",AJ40*1000000,"T",AJ39+273.15,"REFPROP::Water")</f>
        <v>0.50610485186566656</v>
      </c>
      <c r="AK53">
        <f>1/[1]!PropsSI("D","P",AK40*1000000,"T",AK39+273.15,"REFPROP::Water")</f>
        <v>0.58396875669752324</v>
      </c>
      <c r="AL53">
        <f>1/[1]!PropsSI("D","P",AL40*1000000,"T",AL39+273.15,"REFPROP::Water")</f>
        <v>0.57115579771533609</v>
      </c>
      <c r="AM53">
        <f>1/[1]!PropsSI("D","P",AM40*1000000,"T",AM39+273.15,"REFPROP::Water")</f>
        <v>0.5538788103187956</v>
      </c>
      <c r="AN53">
        <f>1/[1]!PropsSI("D","P",AN40*1000000,"T",AN39+273.15,"REFPROP::Water")</f>
        <v>0.55640275321271293</v>
      </c>
      <c r="AO53">
        <f>1/[1]!PropsSI("D","P",AO40*1000000,"T",AO39+273.15,"REFPROP::Water")</f>
        <v>0.57823371597979834</v>
      </c>
      <c r="AP53">
        <f>1/[1]!PropsSI("D","P",AP40*1000000,"T",AP39+273.15,"REFPROP::Water")</f>
        <v>0.61868104147558012</v>
      </c>
      <c r="AQ53">
        <f>1/[1]!PropsSI("D","P",AQ40*1000000,"T",AQ39+273.15,"REFPROP::Water")</f>
        <v>0.58675098115456303</v>
      </c>
      <c r="AR53">
        <f>1/[1]!PropsSI("D","P",AR40*1000000,"T",AR39+273.15,"REFPROP::Water")</f>
        <v>0.57795428528438453</v>
      </c>
      <c r="AS53">
        <f>1/[1]!PropsSI("D","P",AS40*1000000,"T",AS39+273.15,"REFPROP::Water")</f>
        <v>0.58690958423043171</v>
      </c>
      <c r="AT53">
        <f>1/[1]!PropsSI("D","P",AT40*1000000,"T",AT39+273.15,"REFPROP::Water")</f>
        <v>0.59528884406933691</v>
      </c>
      <c r="AU53">
        <f>1/[1]!PropsSI("D","P",AU40*1000000,"T",AU39+273.15,"REFPROP::Water")</f>
        <v>0.58307395506347781</v>
      </c>
      <c r="AV53">
        <f>1/[1]!PropsSI("D","P",AV40*1000000,"T",AV39+273.15,"REFPROP::Water")</f>
        <v>0.61730688949734469</v>
      </c>
    </row>
    <row r="54" spans="1:95" x14ac:dyDescent="0.35">
      <c r="A54" t="s">
        <v>122</v>
      </c>
      <c r="B54">
        <f>1/[1]!PropsSI("D","P",B44*1000000,"H",B45*1000,"REFPROP::Water")</f>
        <v>0.72329534007210994</v>
      </c>
      <c r="C54">
        <f>1/[1]!PropsSI("D","P",C44*1000000,"H",C45*1000,"REFPROP::Water")</f>
        <v>0.7251961106473942</v>
      </c>
      <c r="D54">
        <f>1/[1]!PropsSI("D","P",D44*1000000,"H",D45*1000,"REFPROP::Water")</f>
        <v>1.0675880945937603E-3</v>
      </c>
      <c r="E54">
        <f>1/[1]!PropsSI("D","P",E44*1000000,"H",E45*1000,"REFPROP::Water")</f>
        <v>1.0680671578701974E-3</v>
      </c>
      <c r="F54">
        <f>1/[1]!PropsSI("D","P",F44*1000000,"H",F45*1000,"REFPROP::Water")</f>
        <v>1.0686444135151124E-3</v>
      </c>
      <c r="G54">
        <f>1/[1]!PropsSI("D","P",G44*1000000,"H",G45*1000,"REFPROP::Water")</f>
        <v>0.69746116070239306</v>
      </c>
      <c r="H54">
        <f>1/[1]!PropsSI("D","P",H44*1000000,"H",H45*1000,"REFPROP::Water")</f>
        <v>0.69869784420432668</v>
      </c>
      <c r="I54" s="4">
        <f>1/[1]!PropsSI("D","P",I44*1000000,"H",I45*1000,"REFPROP::Water")</f>
        <v>0.71449346699749228</v>
      </c>
      <c r="J54">
        <f>1/[1]!PropsSI("D","P",J44*1000000,"H",J45*1000,"REFPROP::Water")</f>
        <v>0.72726933287075479</v>
      </c>
      <c r="K54">
        <f>1/[1]!PropsSI("D","P",K44*1000000,"H",K45*1000,"REFPROP::Water")</f>
        <v>0.72687529244213178</v>
      </c>
      <c r="L54">
        <f>1/[1]!PropsSI("D","P",L44*1000000,"H",L45*1000,"REFPROP::Water")</f>
        <v>0.77377487640175002</v>
      </c>
      <c r="M54">
        <f>1/[1]!PropsSI("D","P",M44*1000000,"H",M45*1000,"REFPROP::Water")</f>
        <v>0.77199916067680263</v>
      </c>
      <c r="N54">
        <f>1/[1]!PropsSI("D","P",N44*1000000,"H",N45*1000,"REFPROP::Water")</f>
        <v>1.0627022810735496E-3</v>
      </c>
      <c r="O54">
        <f>1/[1]!PropsSI("D","P",O44*1000000,"H",O45*1000,"REFPROP::Water")</f>
        <v>1.0636285193480494E-3</v>
      </c>
      <c r="P54">
        <f>1/[1]!PropsSI("D","P",P44*1000000,"H",P45*1000,"REFPROP::Water")</f>
        <v>1.0596026593859681E-3</v>
      </c>
      <c r="Q54">
        <f>1/[1]!PropsSI("D","P",Q44*1000000,"H",Q45*1000,"REFPROP::Water")</f>
        <v>1.1614940419010062</v>
      </c>
      <c r="R54" s="6">
        <f>1/[1]!PropsSI("D","P",R44*1000000,"H",R45*1000,"REFPROP::Water")</f>
        <v>1.5198439030573767</v>
      </c>
      <c r="S54">
        <f>1/[1]!PropsSI("D","P",S44*1000000,"H",S45*1000,"REFPROP::Water")</f>
        <v>1.5548012064471688</v>
      </c>
      <c r="T54">
        <f>1/[1]!PropsSI("D","P",T44*1000000,"H",T45*1000,"REFPROP::Water")</f>
        <v>1.9807575203479426</v>
      </c>
      <c r="U54">
        <f>1/[1]!PropsSI("D","P",U44*1000000,"H",U45*1000,"REFPROP::Water")</f>
        <v>2.1712514935557361</v>
      </c>
      <c r="V54">
        <f>1/[1]!PropsSI("D","P",V44*1000000,"H",V45*1000,"REFPROP::Water")</f>
        <v>2.1712514935557361</v>
      </c>
      <c r="W54">
        <f>1/[1]!PropsSI("D","P",W44*1000000,"H",W45*1000,"REFPROP::Water")</f>
        <v>1.0611433539223902E-3</v>
      </c>
      <c r="X54">
        <f>1/[1]!PropsSI("D","P",X44*1000000,"H",X45*1000,"REFPROP::Water")</f>
        <v>0.91312970617788258</v>
      </c>
      <c r="Y54">
        <f>1/[1]!PropsSI("D","P",Y44*1000000,"H",Y45*1000,"REFPROP::Water")</f>
        <v>0.95978803603030693</v>
      </c>
      <c r="Z54">
        <f>1/[1]!PropsSI("D","P",Z44*1000000,"H",Z45*1000,"REFPROP::Water")</f>
        <v>0.93617268627278716</v>
      </c>
      <c r="AA54">
        <f>1/[1]!PropsSI("D","P",AA44*1000000,"H",AA45*1000,"REFPROP::Water")</f>
        <v>0.90949456857174171</v>
      </c>
      <c r="AB54">
        <f>1/[1]!PropsSI("D","P",AB44*1000000,"H",AB45*1000,"REFPROP::Water")</f>
        <v>0.91613150759635509</v>
      </c>
      <c r="AC54">
        <f>1/[1]!PropsSI("D","P",AC44*1000000,"H",AC45*1000,"REFPROP::Water")</f>
        <v>0.9536070974941333</v>
      </c>
      <c r="AD54">
        <f>1/[1]!PropsSI("D","P",AD44*1000000,"H",AD45*1000,"REFPROP::Water")</f>
        <v>1.0135812546788638</v>
      </c>
      <c r="AE54">
        <f>1/[1]!PropsSI("D","P",AE44*1000000,"H",AE45*1000,"REFPROP::Water")</f>
        <v>1.0108830659091868</v>
      </c>
      <c r="AF54">
        <f>1/[1]!PropsSI("D","P",AF44*1000000,"H",AF45*1000,"REFPROP::Water")</f>
        <v>0.94751349913075655</v>
      </c>
      <c r="AG54">
        <f>1/[1]!PropsSI("D","P",AG44*1000000,"H",AG45*1000,"REFPROP::Water")</f>
        <v>1.0462335027697199E-3</v>
      </c>
      <c r="AH54">
        <f>1/[1]!PropsSI("D","P",AH44*1000000,"H",AH45*1000,"REFPROP::Water")</f>
        <v>1.8832095131060136</v>
      </c>
      <c r="AI54">
        <f>1/[1]!PropsSI("D","P",AI44*1000000,"H",AI45*1000,"REFPROP::Water")</f>
        <v>0.99403090826489804</v>
      </c>
      <c r="AJ54">
        <f>1/[1]!PropsSI("D","P",AJ44*1000000,"H",AJ45*1000,"REFPROP::Water")</f>
        <v>1.055084660181425</v>
      </c>
      <c r="AK54">
        <f>1/[1]!PropsSI("D","P",AK44*1000000,"H",AK45*1000,"REFPROP::Water")</f>
        <v>1.1856637507727692</v>
      </c>
      <c r="AL54">
        <f>1/[1]!PropsSI("D","P",AL44*1000000,"H",AL45*1000,"REFPROP::Water")</f>
        <v>1.1593445847874861</v>
      </c>
      <c r="AM54">
        <f>1/[1]!PropsSI("D","P",AM44*1000000,"H",AM45*1000,"REFPROP::Water")</f>
        <v>1.1223865139208229</v>
      </c>
      <c r="AN54">
        <f>1/[1]!PropsSI("D","P",AN44*1000000,"H",AN45*1000,"REFPROP::Water")</f>
        <v>1.127755830588272</v>
      </c>
      <c r="AO54">
        <f>1/[1]!PropsSI("D","P",AO44*1000000,"H",AO45*1000,"REFPROP::Water")</f>
        <v>1.1710212413988204</v>
      </c>
      <c r="AP54">
        <f>1/[1]!PropsSI("D","P",AP44*1000000,"H",AP45*1000,"REFPROP::Water")</f>
        <v>1.2522783018435648</v>
      </c>
      <c r="AQ54">
        <f>1/[1]!PropsSI("D","P",AQ44*1000000,"H",AQ45*1000,"REFPROP::Water")</f>
        <v>1.3499999601872681</v>
      </c>
      <c r="AR54">
        <f>1/[1]!PropsSI("D","P",AR44*1000000,"H",AR45*1000,"REFPROP::Water")</f>
        <v>1.3079927363098638</v>
      </c>
      <c r="AS54">
        <f>1/[1]!PropsSI("D","P",AS44*1000000,"H",AS45*1000,"REFPROP::Water")</f>
        <v>1.9742317468084345</v>
      </c>
      <c r="AT54">
        <f>1/[1]!PropsSI("D","P",AT44*1000000,"H",AT45*1000,"REFPROP::Water")</f>
        <v>1.0344529451166231E-3</v>
      </c>
      <c r="AU54">
        <f>1/[1]!PropsSI("D","P",AU44*1000000,"H",AU45*1000,"REFPROP::Water")</f>
        <v>1.2160144908307347</v>
      </c>
      <c r="AV54">
        <f>1/[1]!PropsSI("D","P",AV44*1000000,"H",AV45*1000,"REFPROP::Water")</f>
        <v>1.2371061765589439</v>
      </c>
    </row>
    <row r="55" spans="1:95" x14ac:dyDescent="0.35">
      <c r="A55" t="s">
        <v>123</v>
      </c>
      <c r="B55">
        <f>(B53+B54)/2</f>
        <v>0.5554820553567873</v>
      </c>
      <c r="C55">
        <f t="shared" ref="C55:AV55" si="120">(C53+C54)/2</f>
        <v>0.55732705702004848</v>
      </c>
      <c r="D55">
        <f t="shared" si="120"/>
        <v>0.19125996817708488</v>
      </c>
      <c r="E55">
        <f t="shared" si="120"/>
        <v>0.18829162526167836</v>
      </c>
      <c r="F55">
        <f t="shared" si="120"/>
        <v>0.18535253750918976</v>
      </c>
      <c r="G55">
        <f t="shared" si="120"/>
        <v>0.53627065506304405</v>
      </c>
      <c r="H55">
        <f t="shared" si="120"/>
        <v>0.53728330730514462</v>
      </c>
      <c r="I55" s="4">
        <f t="shared" si="120"/>
        <v>0.54922282317267535</v>
      </c>
      <c r="J55">
        <f t="shared" si="120"/>
        <v>0.55900991481762397</v>
      </c>
      <c r="K55">
        <f t="shared" si="120"/>
        <v>0.5588128946033124</v>
      </c>
      <c r="L55">
        <f t="shared" si="120"/>
        <v>0.59491779464466388</v>
      </c>
      <c r="M55">
        <f t="shared" si="120"/>
        <v>0.59356740566153943</v>
      </c>
      <c r="N55">
        <f t="shared" si="120"/>
        <v>0.19773943068057054</v>
      </c>
      <c r="O55">
        <f t="shared" si="120"/>
        <v>0.19310771497928672</v>
      </c>
      <c r="P55">
        <f t="shared" si="120"/>
        <v>0.19481973997978785</v>
      </c>
      <c r="Q55">
        <f t="shared" si="120"/>
        <v>0.77799868605150091</v>
      </c>
      <c r="R55" s="6">
        <f t="shared" si="120"/>
        <v>0.9634111509114498</v>
      </c>
      <c r="S55">
        <f t="shared" si="120"/>
        <v>0.98130538896453645</v>
      </c>
      <c r="T55">
        <f t="shared" si="120"/>
        <v>1.2048571346230299</v>
      </c>
      <c r="U55">
        <f t="shared" si="120"/>
        <v>1.3148023468955592</v>
      </c>
      <c r="V55">
        <f t="shared" si="120"/>
        <v>1.3148023468955592</v>
      </c>
      <c r="W55">
        <f t="shared" si="120"/>
        <v>0.20255025677899949</v>
      </c>
      <c r="X55">
        <f t="shared" si="120"/>
        <v>0.67224536461231565</v>
      </c>
      <c r="Y55">
        <f t="shared" si="120"/>
        <v>0.71640468990453865</v>
      </c>
      <c r="Z55">
        <f t="shared" si="120"/>
        <v>0.69983240026812177</v>
      </c>
      <c r="AA55">
        <f t="shared" si="120"/>
        <v>0.67921053575946788</v>
      </c>
      <c r="AB55">
        <f t="shared" si="120"/>
        <v>0.68450488338246196</v>
      </c>
      <c r="AC55">
        <f t="shared" si="120"/>
        <v>0.71266926705395317</v>
      </c>
      <c r="AD55">
        <f t="shared" si="120"/>
        <v>0.7578375250988012</v>
      </c>
      <c r="AE55">
        <f t="shared" si="120"/>
        <v>0.74108374010564115</v>
      </c>
      <c r="AF55">
        <f t="shared" si="120"/>
        <v>0.70379917461730579</v>
      </c>
      <c r="AG55">
        <f t="shared" si="120"/>
        <v>0.2361814556491329</v>
      </c>
      <c r="AH55">
        <f t="shared" si="120"/>
        <v>1.1827539474080706</v>
      </c>
      <c r="AI55">
        <f t="shared" si="120"/>
        <v>0.73471598355698142</v>
      </c>
      <c r="AJ55">
        <f t="shared" si="120"/>
        <v>0.78059475602354578</v>
      </c>
      <c r="AK55">
        <f t="shared" si="120"/>
        <v>0.88481625373514627</v>
      </c>
      <c r="AL55">
        <f t="shared" si="120"/>
        <v>0.86525019125141112</v>
      </c>
      <c r="AM55">
        <f t="shared" si="120"/>
        <v>0.8381326621198093</v>
      </c>
      <c r="AN55">
        <f t="shared" si="120"/>
        <v>0.84207929190049247</v>
      </c>
      <c r="AO55">
        <f t="shared" si="120"/>
        <v>0.87462747868930935</v>
      </c>
      <c r="AP55">
        <f t="shared" si="120"/>
        <v>0.93547967165957246</v>
      </c>
      <c r="AQ55">
        <f t="shared" si="120"/>
        <v>0.96837547067091556</v>
      </c>
      <c r="AR55">
        <f t="shared" si="120"/>
        <v>0.94297351079712421</v>
      </c>
      <c r="AS55">
        <f t="shared" si="120"/>
        <v>1.2805706655194331</v>
      </c>
      <c r="AT55">
        <f t="shared" si="120"/>
        <v>0.29816164850722676</v>
      </c>
      <c r="AU55">
        <f t="shared" si="120"/>
        <v>0.89954422294710623</v>
      </c>
      <c r="AV55">
        <f t="shared" si="120"/>
        <v>0.92720653302814426</v>
      </c>
    </row>
    <row r="56" spans="1:95" x14ac:dyDescent="0.35">
      <c r="I56" s="4"/>
      <c r="X56" t="s">
        <v>127</v>
      </c>
      <c r="Y56">
        <v>1</v>
      </c>
    </row>
    <row r="57" spans="1:95" x14ac:dyDescent="0.35">
      <c r="A57" t="s">
        <v>101</v>
      </c>
      <c r="I57" s="4"/>
      <c r="W57">
        <v>2</v>
      </c>
      <c r="X57">
        <v>-0.2366</v>
      </c>
      <c r="Y57">
        <f>X57*$Y$56^W57</f>
        <v>-0.2366</v>
      </c>
    </row>
    <row r="58" spans="1:95" x14ac:dyDescent="0.35">
      <c r="A58" t="s">
        <v>95</v>
      </c>
      <c r="B58">
        <f>B38-B15</f>
        <v>76.72</v>
      </c>
      <c r="I58" s="4"/>
      <c r="W58">
        <v>1</v>
      </c>
      <c r="X58">
        <v>0.47499999999999998</v>
      </c>
      <c r="Y58">
        <f t="shared" ref="Y58:Y59" si="121">X58*$Y$56^W58</f>
        <v>0.47499999999999998</v>
      </c>
    </row>
    <row r="59" spans="1:95" x14ac:dyDescent="0.35">
      <c r="I59" s="4"/>
      <c r="W59">
        <v>0</v>
      </c>
      <c r="X59">
        <v>0.72360000000000002</v>
      </c>
      <c r="Y59">
        <f t="shared" si="121"/>
        <v>0.72360000000000002</v>
      </c>
    </row>
    <row r="60" spans="1:95" x14ac:dyDescent="0.35">
      <c r="I60" s="4"/>
      <c r="Y60">
        <f>SUM(Y57:Y59)</f>
        <v>0.96199999999999997</v>
      </c>
    </row>
    <row r="61" spans="1:95" x14ac:dyDescent="0.35">
      <c r="I61" s="4"/>
    </row>
    <row r="62" spans="1:95" x14ac:dyDescent="0.35">
      <c r="I62" s="4"/>
    </row>
    <row r="63" spans="1:95" x14ac:dyDescent="0.35">
      <c r="A63" t="s">
        <v>102</v>
      </c>
      <c r="I63" s="4"/>
    </row>
    <row r="64" spans="1:95" x14ac:dyDescent="0.35">
      <c r="A64" t="s">
        <v>95</v>
      </c>
      <c r="B64">
        <f>B24</f>
        <v>76.72</v>
      </c>
      <c r="C64">
        <f t="shared" ref="C64:AR64" si="122">C24</f>
        <v>76.5</v>
      </c>
      <c r="D64">
        <f t="shared" si="122"/>
        <v>78.17</v>
      </c>
      <c r="E64">
        <f t="shared" si="122"/>
        <v>79.33</v>
      </c>
      <c r="F64">
        <f t="shared" si="122"/>
        <v>80.61</v>
      </c>
      <c r="G64">
        <f t="shared" si="122"/>
        <v>79.62</v>
      </c>
      <c r="H64">
        <f t="shared" si="122"/>
        <v>79.52</v>
      </c>
      <c r="I64" s="4">
        <f t="shared" si="122"/>
        <v>78.16</v>
      </c>
      <c r="J64">
        <f t="shared" si="122"/>
        <v>76.819999999999993</v>
      </c>
      <c r="K64">
        <f t="shared" si="122"/>
        <v>76.86</v>
      </c>
      <c r="L64">
        <f t="shared" si="122"/>
        <v>72.94</v>
      </c>
      <c r="M64">
        <f t="shared" si="122"/>
        <v>72.94</v>
      </c>
      <c r="N64">
        <f t="shared" si="122"/>
        <v>4.4400000000000004</v>
      </c>
      <c r="O64">
        <f t="shared" si="122"/>
        <v>4.4400000000000004</v>
      </c>
      <c r="P64">
        <f t="shared" si="122"/>
        <v>4.4400000000000004</v>
      </c>
      <c r="Q64">
        <f t="shared" si="122"/>
        <v>4.4400000000000004</v>
      </c>
      <c r="R64" s="6">
        <f t="shared" si="122"/>
        <v>4.4400000000000004</v>
      </c>
      <c r="S64">
        <f t="shared" si="122"/>
        <v>4.4400000000000004</v>
      </c>
      <c r="T64">
        <f t="shared" si="122"/>
        <v>4.4400000000000004</v>
      </c>
      <c r="U64">
        <f t="shared" si="122"/>
        <v>4.4400000000000004</v>
      </c>
      <c r="V64">
        <f t="shared" si="122"/>
        <v>4.4400000000000004</v>
      </c>
      <c r="W64">
        <f t="shared" si="122"/>
        <v>29.53</v>
      </c>
      <c r="X64">
        <f t="shared" si="122"/>
        <v>25.8</v>
      </c>
      <c r="Y64">
        <f t="shared" si="122"/>
        <v>64.25</v>
      </c>
      <c r="Z64">
        <f t="shared" si="122"/>
        <v>65.61</v>
      </c>
      <c r="AA64">
        <f t="shared" si="122"/>
        <v>67.81</v>
      </c>
      <c r="AB64">
        <f t="shared" si="122"/>
        <v>67.22</v>
      </c>
      <c r="AC64">
        <f t="shared" si="122"/>
        <v>64.89</v>
      </c>
      <c r="AD64">
        <f t="shared" si="122"/>
        <v>61.55</v>
      </c>
      <c r="AE64">
        <f t="shared" si="122"/>
        <v>4.4400000000000004</v>
      </c>
      <c r="AF64">
        <f t="shared" si="122"/>
        <v>4.4400000000000004</v>
      </c>
      <c r="AG64">
        <f t="shared" si="122"/>
        <v>4.4400000000000004</v>
      </c>
      <c r="AH64">
        <f t="shared" si="122"/>
        <v>4.4400000000000004</v>
      </c>
      <c r="AI64">
        <f t="shared" si="122"/>
        <v>18.84</v>
      </c>
      <c r="AJ64">
        <f t="shared" si="122"/>
        <v>16</v>
      </c>
      <c r="AK64">
        <f t="shared" si="122"/>
        <v>52.33</v>
      </c>
      <c r="AL64">
        <f t="shared" si="122"/>
        <v>53.5</v>
      </c>
      <c r="AM64">
        <f t="shared" si="122"/>
        <v>55.33</v>
      </c>
      <c r="AN64">
        <f t="shared" si="122"/>
        <v>55.17</v>
      </c>
      <c r="AO64">
        <f t="shared" si="122"/>
        <v>53.14</v>
      </c>
      <c r="AP64">
        <f t="shared" si="122"/>
        <v>50.25</v>
      </c>
      <c r="AQ64">
        <f t="shared" si="122"/>
        <v>4.4400000000000004</v>
      </c>
      <c r="AR64">
        <f t="shared" si="122"/>
        <v>4.4400000000000004</v>
      </c>
      <c r="AS64">
        <f>AS24</f>
        <v>4.4400000000000004</v>
      </c>
      <c r="AT64">
        <f t="shared" ref="AT64:AV64" si="123">AT24</f>
        <v>4.4400000000000004</v>
      </c>
      <c r="AU64">
        <f t="shared" si="123"/>
        <v>7.68</v>
      </c>
      <c r="AV64">
        <f t="shared" si="123"/>
        <v>5.52</v>
      </c>
    </row>
    <row r="65" spans="1:48" x14ac:dyDescent="0.35">
      <c r="A65" t="s">
        <v>96</v>
      </c>
      <c r="B65">
        <f>B25</f>
        <v>111.2</v>
      </c>
      <c r="C65">
        <f t="shared" ref="C65:AR65" si="124">C25</f>
        <v>111.1</v>
      </c>
      <c r="D65">
        <f t="shared" si="124"/>
        <v>111.2</v>
      </c>
      <c r="E65">
        <f t="shared" si="124"/>
        <v>112.2</v>
      </c>
      <c r="F65">
        <f t="shared" si="124"/>
        <v>112.8</v>
      </c>
      <c r="G65">
        <f t="shared" si="124"/>
        <v>112.4</v>
      </c>
      <c r="H65">
        <f t="shared" si="124"/>
        <v>112.4</v>
      </c>
      <c r="I65" s="4">
        <f t="shared" si="124"/>
        <v>111.8</v>
      </c>
      <c r="J65">
        <f t="shared" si="124"/>
        <v>111.3</v>
      </c>
      <c r="K65">
        <f t="shared" si="124"/>
        <v>111.4</v>
      </c>
      <c r="L65">
        <f t="shared" si="124"/>
        <v>110.1</v>
      </c>
      <c r="M65">
        <f t="shared" si="124"/>
        <v>110.2</v>
      </c>
      <c r="N65">
        <f t="shared" si="124"/>
        <v>89.57</v>
      </c>
      <c r="O65">
        <f t="shared" si="124"/>
        <v>90.17</v>
      </c>
      <c r="P65">
        <f t="shared" si="124"/>
        <v>74.319999999999993</v>
      </c>
      <c r="Q65">
        <f t="shared" si="124"/>
        <v>42.9</v>
      </c>
      <c r="R65" s="6">
        <f t="shared" si="124"/>
        <v>42.72</v>
      </c>
      <c r="S65">
        <f t="shared" si="124"/>
        <v>42.7</v>
      </c>
      <c r="T65">
        <f t="shared" si="124"/>
        <v>42.72</v>
      </c>
      <c r="U65">
        <f t="shared" si="124"/>
        <v>45.8</v>
      </c>
      <c r="V65">
        <f t="shared" si="124"/>
        <v>48</v>
      </c>
      <c r="W65">
        <f t="shared" si="124"/>
        <v>83.56</v>
      </c>
      <c r="X65">
        <f t="shared" si="124"/>
        <v>80.58</v>
      </c>
      <c r="Y65">
        <f t="shared" si="124"/>
        <v>93.4</v>
      </c>
      <c r="Z65">
        <f t="shared" si="124"/>
        <v>94</v>
      </c>
      <c r="AA65">
        <f t="shared" si="124"/>
        <v>95</v>
      </c>
      <c r="AB65">
        <f t="shared" si="124"/>
        <v>94.8</v>
      </c>
      <c r="AC65">
        <f t="shared" si="124"/>
        <v>93.9</v>
      </c>
      <c r="AD65">
        <f t="shared" si="124"/>
        <v>93</v>
      </c>
      <c r="AE65">
        <f t="shared" si="124"/>
        <v>90.9</v>
      </c>
      <c r="AF65">
        <f t="shared" si="124"/>
        <v>93.3</v>
      </c>
      <c r="AG65">
        <f t="shared" si="124"/>
        <v>35.08</v>
      </c>
      <c r="AH65">
        <f t="shared" si="124"/>
        <v>35.369999999999997</v>
      </c>
      <c r="AI65">
        <f t="shared" si="124"/>
        <v>63</v>
      </c>
      <c r="AJ65">
        <f t="shared" si="124"/>
        <v>61.89</v>
      </c>
      <c r="AK65">
        <f t="shared" si="124"/>
        <v>87.9</v>
      </c>
      <c r="AL65">
        <f t="shared" si="124"/>
        <v>88.5</v>
      </c>
      <c r="AM65">
        <f t="shared" si="124"/>
        <v>89.5</v>
      </c>
      <c r="AN65">
        <f t="shared" si="124"/>
        <v>89.4</v>
      </c>
      <c r="AO65">
        <f t="shared" si="124"/>
        <v>88.5</v>
      </c>
      <c r="AP65">
        <f t="shared" si="124"/>
        <v>87.6</v>
      </c>
      <c r="AQ65">
        <f t="shared" si="124"/>
        <v>91.3</v>
      </c>
      <c r="AR65">
        <f t="shared" si="124"/>
        <v>84.58</v>
      </c>
      <c r="AS65">
        <f>AS25</f>
        <v>35.06</v>
      </c>
      <c r="AT65">
        <f t="shared" ref="AT65:AV65" si="125">AT25</f>
        <v>35.39</v>
      </c>
      <c r="AU65">
        <f t="shared" si="125"/>
        <v>45.43</v>
      </c>
      <c r="AV65">
        <f t="shared" si="125"/>
        <v>68.8</v>
      </c>
    </row>
    <row r="66" spans="1:48" x14ac:dyDescent="0.35">
      <c r="A66" t="s">
        <v>103</v>
      </c>
      <c r="B66">
        <f t="shared" ref="B66:AV66" si="126">IF(B26&lt;0,100+B26,B26)</f>
        <v>97.61</v>
      </c>
      <c r="C66">
        <f t="shared" si="126"/>
        <v>97.64</v>
      </c>
      <c r="D66">
        <f t="shared" si="126"/>
        <v>97.64</v>
      </c>
      <c r="E66">
        <f t="shared" si="126"/>
        <v>97.62</v>
      </c>
      <c r="F66">
        <f t="shared" si="126"/>
        <v>97.66</v>
      </c>
      <c r="G66">
        <f t="shared" si="126"/>
        <v>97.75</v>
      </c>
      <c r="H66">
        <f t="shared" si="126"/>
        <v>97.76</v>
      </c>
      <c r="I66" s="4">
        <f t="shared" si="126"/>
        <v>98.11</v>
      </c>
      <c r="J66">
        <f t="shared" si="126"/>
        <v>98.1</v>
      </c>
      <c r="K66">
        <f t="shared" si="126"/>
        <v>98.1</v>
      </c>
      <c r="L66">
        <f t="shared" si="126"/>
        <v>98.77</v>
      </c>
      <c r="M66">
        <f t="shared" si="126"/>
        <v>98.8</v>
      </c>
      <c r="N66">
        <f t="shared" si="126"/>
        <v>103.6</v>
      </c>
      <c r="O66">
        <f t="shared" si="126"/>
        <v>103.7</v>
      </c>
      <c r="P66">
        <f t="shared" si="126"/>
        <v>102.42</v>
      </c>
      <c r="Q66">
        <f t="shared" si="126"/>
        <v>99.79</v>
      </c>
      <c r="R66" s="6">
        <f t="shared" si="126"/>
        <v>97.38</v>
      </c>
      <c r="S66">
        <f t="shared" si="126"/>
        <v>97.15</v>
      </c>
      <c r="T66">
        <f t="shared" si="126"/>
        <v>95.24</v>
      </c>
      <c r="U66">
        <f t="shared" si="126"/>
        <v>95.16</v>
      </c>
      <c r="V66">
        <f t="shared" si="126"/>
        <v>95</v>
      </c>
      <c r="W66">
        <f t="shared" si="126"/>
        <v>94.43</v>
      </c>
      <c r="X66">
        <f t="shared" si="126"/>
        <v>95.44</v>
      </c>
      <c r="Y66">
        <f t="shared" si="126"/>
        <v>96.5</v>
      </c>
      <c r="Z66">
        <f t="shared" si="126"/>
        <v>96.5</v>
      </c>
      <c r="AA66">
        <f t="shared" si="126"/>
        <v>96.5</v>
      </c>
      <c r="AB66">
        <f t="shared" si="126"/>
        <v>96.63</v>
      </c>
      <c r="AC66">
        <f t="shared" si="126"/>
        <v>97</v>
      </c>
      <c r="AD66">
        <f t="shared" si="126"/>
        <v>97.63</v>
      </c>
      <c r="AE66">
        <f t="shared" si="126"/>
        <v>104.3</v>
      </c>
      <c r="AF66">
        <f t="shared" si="126"/>
        <v>104.5</v>
      </c>
      <c r="AG66">
        <f t="shared" si="126"/>
        <v>99.86</v>
      </c>
      <c r="AH66">
        <f t="shared" si="126"/>
        <v>97.93</v>
      </c>
      <c r="AI66">
        <f t="shared" si="126"/>
        <v>97.54</v>
      </c>
      <c r="AJ66">
        <f t="shared" si="126"/>
        <v>98.65</v>
      </c>
      <c r="AK66">
        <f t="shared" si="126"/>
        <v>97.25</v>
      </c>
      <c r="AL66">
        <f t="shared" si="126"/>
        <v>97.28</v>
      </c>
      <c r="AM66">
        <f t="shared" si="126"/>
        <v>97.32</v>
      </c>
      <c r="AN66">
        <f t="shared" si="126"/>
        <v>97.39</v>
      </c>
      <c r="AO66">
        <f t="shared" si="126"/>
        <v>97.38</v>
      </c>
      <c r="AP66">
        <f t="shared" si="126"/>
        <v>98.37</v>
      </c>
      <c r="AQ66">
        <f t="shared" si="126"/>
        <v>104.3</v>
      </c>
      <c r="AR66">
        <f t="shared" si="126"/>
        <v>103.8</v>
      </c>
      <c r="AS66">
        <f t="shared" si="126"/>
        <v>99.66</v>
      </c>
      <c r="AT66">
        <f t="shared" si="126"/>
        <v>98.19</v>
      </c>
      <c r="AU66">
        <f t="shared" si="126"/>
        <v>99.56</v>
      </c>
      <c r="AV66">
        <f t="shared" si="126"/>
        <v>101.7</v>
      </c>
    </row>
    <row r="67" spans="1:48" x14ac:dyDescent="0.35">
      <c r="A67" t="s">
        <v>110</v>
      </c>
      <c r="B67">
        <f>[1]!PropsSI("H","Q",1,"T",B65+273.15,"REFPROP::Water")/1000</f>
        <v>2692.8797709829328</v>
      </c>
      <c r="C67">
        <f>[1]!PropsSI("H","Q",1,"T",C65+273.15,"REFPROP::Water")/1000</f>
        <v>2692.7285834096042</v>
      </c>
      <c r="D67">
        <f>[1]!PropsSI("H","Q",1,"T",D65+273.15,"REFPROP::Water")/1000</f>
        <v>2692.8797709829328</v>
      </c>
      <c r="E67">
        <f>[1]!PropsSI("H","Q",1,"T",E65+273.15,"REFPROP::Water")/1000</f>
        <v>2694.3881328692573</v>
      </c>
      <c r="F67">
        <f>[1]!PropsSI("H","Q",1,"T",F65+273.15,"REFPROP::Water")/1000</f>
        <v>2695.29006127715</v>
      </c>
      <c r="G67">
        <f>[1]!PropsSI("H","Q",1,"T",G65+273.15,"REFPROP::Water")/1000</f>
        <v>2694.689034366851</v>
      </c>
      <c r="H67">
        <f>[1]!PropsSI("H","Q",1,"T",H65+273.15,"REFPROP::Water")/1000</f>
        <v>2694.689034366851</v>
      </c>
      <c r="I67" s="4">
        <f>[1]!PropsSI("H","Q",1,"T",I65+273.15,"REFPROP::Water")/1000</f>
        <v>2693.7855570443526</v>
      </c>
      <c r="J67">
        <f>[1]!PropsSI("H","Q",1,"T",J65+273.15,"REFPROP::Water")/1000</f>
        <v>2693.030894911451</v>
      </c>
      <c r="K67">
        <f>[1]!PropsSI("H","Q",1,"T",K65+273.15,"REFPROP::Water")/1000</f>
        <v>2693.181955114123</v>
      </c>
      <c r="L67">
        <f>[1]!PropsSI("H","Q",1,"T",L65+273.15,"REFPROP::Water")/1000</f>
        <v>2691.2132250172049</v>
      </c>
      <c r="M67">
        <f>[1]!PropsSI("H","Q",1,"T",M65+273.15,"REFPROP::Water")/1000</f>
        <v>2691.3650445886633</v>
      </c>
      <c r="N67">
        <f>[1]!PropsSI("H","Q",1,"T",N65+273.15,"REFPROP::Water")/1000</f>
        <v>2658.8291525693412</v>
      </c>
      <c r="O67">
        <f>[1]!PropsSI("H","Q",1,"T",O65+273.15,"REFPROP::Water")/1000</f>
        <v>2659.80685769616</v>
      </c>
      <c r="P67">
        <f>[1]!PropsSI("H","Q",1,"T",P65+273.15,"REFPROP::Water")/1000</f>
        <v>2633.4511576951268</v>
      </c>
      <c r="Q67">
        <f>[1]!PropsSI("H","Q",1,"T",Q65+273.15,"REFPROP::Water")/1000</f>
        <v>2578.6872363909924</v>
      </c>
      <c r="R67" s="6">
        <f>[1]!PropsSI("H","Q",1,"T",R65+273.15,"REFPROP::Water")/1000</f>
        <v>2578.3663861586156</v>
      </c>
      <c r="S67">
        <f>[1]!PropsSI("H","Q",1,"T",S65+273.15,"REFPROP::Water")/1000</f>
        <v>2578.3307321685083</v>
      </c>
      <c r="T67">
        <f>[1]!PropsSI("H","Q",1,"T",T65+273.15,"REFPROP::Water")/1000</f>
        <v>2578.3663861586156</v>
      </c>
      <c r="U67">
        <f>[1]!PropsSI("H","Q",1,"T",U65+273.15,"REFPROP::Water")/1000</f>
        <v>2583.8474293426084</v>
      </c>
      <c r="V67">
        <f>[1]!PropsSI("H","Q",1,"T",V65+273.15,"REFPROP::Water")/1000</f>
        <v>2587.7502226965426</v>
      </c>
      <c r="W67">
        <f>[1]!PropsSI("H","Q",1,"T",W65+273.15,"REFPROP::Water")/1000</f>
        <v>2648.944831801834</v>
      </c>
      <c r="X67">
        <f>[1]!PropsSI("H","Q",1,"T",X65+273.15,"REFPROP::Water")/1000</f>
        <v>2643.9854124017616</v>
      </c>
      <c r="Y67">
        <f>[1]!PropsSI("H","Q",1,"T",Y65+273.15,"REFPROP::Water")/1000</f>
        <v>2665.0403953181926</v>
      </c>
      <c r="Z67">
        <f>[1]!PropsSI("H","Q",1,"T",Z65+273.15,"REFPROP::Water")/1000</f>
        <v>2666.0069153383715</v>
      </c>
      <c r="AA67">
        <f>[1]!PropsSI("H","Q",1,"T",AA65+273.15,"REFPROP::Water")/1000</f>
        <v>2667.6137508714473</v>
      </c>
      <c r="AB67">
        <f>[1]!PropsSI("H","Q",1,"T",AB65+273.15,"REFPROP::Water")/1000</f>
        <v>2667.2927896403571</v>
      </c>
      <c r="AC67">
        <f>[1]!PropsSI("H","Q",1,"T",AC65+273.15,"REFPROP::Water")/1000</f>
        <v>2665.8459539659693</v>
      </c>
      <c r="AD67">
        <f>[1]!PropsSI("H","Q",1,"T",AD65+273.15,"REFPROP::Water")/1000</f>
        <v>2664.3950506688984</v>
      </c>
      <c r="AE67">
        <f>[1]!PropsSI("H","Q",1,"T",AE65+273.15,"REFPROP::Water")/1000</f>
        <v>2660.9940913274168</v>
      </c>
      <c r="AF67">
        <f>[1]!PropsSI("H","Q",1,"T",AF65+273.15,"REFPROP::Water")/1000</f>
        <v>2664.8791337464668</v>
      </c>
      <c r="AG67">
        <f>[1]!PropsSI("H","Q",1,"T",AG65+273.15,"REFPROP::Water")/1000</f>
        <v>2564.692170239111</v>
      </c>
      <c r="AH67">
        <f>[1]!PropsSI("H","Q",1,"T",AH65+273.15,"REFPROP::Water")/1000</f>
        <v>2565.2130987357305</v>
      </c>
      <c r="AI67">
        <f>[1]!PropsSI("H","Q",1,"T",AI65+273.15,"REFPROP::Water")/1000</f>
        <v>2614.0457088055186</v>
      </c>
      <c r="AJ67">
        <f>[1]!PropsSI("H","Q",1,"T",AJ65+273.15,"REFPROP::Water")/1000</f>
        <v>2612.1207725902973</v>
      </c>
      <c r="AK67">
        <f>[1]!PropsSI("H","Q",1,"T",AK65+273.15,"REFPROP::Water")/1000</f>
        <v>2656.0989986875175</v>
      </c>
      <c r="AL67">
        <f>[1]!PropsSI("H","Q",1,"T",AL65+273.15,"REFPROP::Water")/1000</f>
        <v>2657.0813825237315</v>
      </c>
      <c r="AM67">
        <f>[1]!PropsSI("H","Q",1,"T",AM65+273.15,"REFPROP::Water")/1000</f>
        <v>2658.7149762852405</v>
      </c>
      <c r="AN67">
        <f>[1]!PropsSI("H","Q",1,"T",AN65+273.15,"REFPROP::Water")/1000</f>
        <v>2658.5518273432153</v>
      </c>
      <c r="AO67">
        <f>[1]!PropsSI("H","Q",1,"T",AO65+273.15,"REFPROP::Water")/1000</f>
        <v>2657.0813825237315</v>
      </c>
      <c r="AP67">
        <f>[1]!PropsSI("H","Q",1,"T",AP65+273.15,"REFPROP::Water")/1000</f>
        <v>2655.6071863165826</v>
      </c>
      <c r="AQ67">
        <f>[1]!PropsSI("H","Q",1,"T",AQ65+273.15,"REFPROP::Water")/1000</f>
        <v>2661.6435466287221</v>
      </c>
      <c r="AR67">
        <f>[1]!PropsSI("H","Q",1,"T",AR65+273.15,"REFPROP::Water")/1000</f>
        <v>2650.6336941591321</v>
      </c>
      <c r="AS67">
        <f>[1]!PropsSI("H","Q",1,"T",AS65+273.15,"REFPROP::Water")/1000</f>
        <v>2564.6562389906717</v>
      </c>
      <c r="AT67">
        <f>[1]!PropsSI("H","Q",1,"T",AT65+273.15,"REFPROP::Water")/1000</f>
        <v>2565.2490196800627</v>
      </c>
      <c r="AU67">
        <f>[1]!PropsSI("H","Q",1,"T",AU65+273.15,"REFPROP::Water")/1000</f>
        <v>2583.1900287740791</v>
      </c>
      <c r="AV67">
        <f>[1]!PropsSI("H","Q",1,"T",AV65+273.15,"REFPROP::Water")/1000</f>
        <v>2624.0418894069844</v>
      </c>
    </row>
    <row r="68" spans="1:48" x14ac:dyDescent="0.35">
      <c r="A68" t="s">
        <v>111</v>
      </c>
      <c r="B68">
        <f>[1]!PropsSI("H","Q",0,"T",B65+273.15,"REFPROP::Water")/1000</f>
        <v>466.49445740765674</v>
      </c>
      <c r="C68">
        <f>[1]!PropsSI("H","Q",0,"T",C65+273.15,"REFPROP::Water")/1000</f>
        <v>466.07110297200569</v>
      </c>
      <c r="D68">
        <f>[1]!PropsSI("H","Q",0,"T",D65+273.15,"REFPROP::Water")/1000</f>
        <v>466.49445740765674</v>
      </c>
      <c r="E68">
        <f>[1]!PropsSI("H","Q",0,"T",E65+273.15,"REFPROP::Water")/1000</f>
        <v>470.72883374434923</v>
      </c>
      <c r="F68">
        <f>[1]!PropsSI("H","Q",0,"T",F65+273.15,"REFPROP::Water")/1000</f>
        <v>473.27019300548039</v>
      </c>
      <c r="G68">
        <f>[1]!PropsSI("H","Q",0,"T",G65+273.15,"REFPROP::Water")/1000</f>
        <v>471.57589194166786</v>
      </c>
      <c r="H68">
        <f>[1]!PropsSI("H","Q",0,"T",H65+273.15,"REFPROP::Water")/1000</f>
        <v>471.57589194166786</v>
      </c>
      <c r="I68" s="4">
        <f>[1]!PropsSI("H","Q",0,"T",I65+273.15,"REFPROP::Water")/1000</f>
        <v>469.03490093023032</v>
      </c>
      <c r="J68">
        <f>[1]!PropsSI("H","Q",0,"T",J65+273.15,"REFPROP::Water")/1000</f>
        <v>466.91782688926099</v>
      </c>
      <c r="K68">
        <f>[1]!PropsSI("H","Q",0,"T",K65+273.15,"REFPROP::Water")/1000</f>
        <v>467.34121144378804</v>
      </c>
      <c r="L68">
        <f>[1]!PropsSI("H","Q",0,"T",L65+273.15,"REFPROP::Water")/1000</f>
        <v>461.8383802382096</v>
      </c>
      <c r="M68">
        <f>[1]!PropsSI("H","Q",0,"T",M65+273.15,"REFPROP::Water")/1000</f>
        <v>462.26158568940463</v>
      </c>
      <c r="N68">
        <f>[1]!PropsSI("H","Q",0,"T",N65+273.15,"REFPROP::Water")/1000</f>
        <v>375.23032292901667</v>
      </c>
      <c r="O68">
        <f>[1]!PropsSI("H","Q",0,"T",O65+273.15,"REFPROP::Water")/1000</f>
        <v>377.75464831464313</v>
      </c>
      <c r="P68">
        <f>[1]!PropsSI("H","Q",0,"T",P65+273.15,"REFPROP::Water")/1000</f>
        <v>311.1777390031732</v>
      </c>
      <c r="Q68">
        <f>[1]!PropsSI("H","Q",0,"T",Q65+273.15,"REFPROP::Water")/1000</f>
        <v>179.65555370007297</v>
      </c>
      <c r="R68" s="6">
        <f>[1]!PropsSI("H","Q",0,"T",R65+273.15,"REFPROP::Water")/1000</f>
        <v>178.90308569821093</v>
      </c>
      <c r="S68">
        <f>[1]!PropsSI("H","Q",0,"T",S65+273.15,"REFPROP::Water")/1000</f>
        <v>178.81947847392902</v>
      </c>
      <c r="T68">
        <f>[1]!PropsSI("H","Q",0,"T",T65+273.15,"REFPROP::Water")/1000</f>
        <v>178.90308569821093</v>
      </c>
      <c r="U68">
        <f>[1]!PropsSI("H","Q",0,"T",U65+273.15,"REFPROP::Water")/1000</f>
        <v>191.77948354049283</v>
      </c>
      <c r="V68">
        <f>[1]!PropsSI("H","Q",0,"T",V65+273.15,"REFPROP::Water")/1000</f>
        <v>200.97818858545295</v>
      </c>
      <c r="W68">
        <f>[1]!PropsSI("H","Q",0,"T",W65+273.15,"REFPROP::Water")/1000</f>
        <v>349.96384564609315</v>
      </c>
      <c r="X68">
        <f>[1]!PropsSI("H","Q",0,"T",X65+273.15,"REFPROP::Water")/1000</f>
        <v>337.44755957755154</v>
      </c>
      <c r="Y68">
        <f>[1]!PropsSI("H","Q",0,"T",Y65+273.15,"REFPROP::Water")/1000</f>
        <v>391.3502275567501</v>
      </c>
      <c r="Z68">
        <f>[1]!PropsSI("H","Q",0,"T",Z65+273.15,"REFPROP::Water")/1000</f>
        <v>393.87692806267603</v>
      </c>
      <c r="AA68">
        <f>[1]!PropsSI("H","Q",0,"T",AA65+273.15,"REFPROP::Water")/1000</f>
        <v>398.0889635277988</v>
      </c>
      <c r="AB68">
        <f>[1]!PropsSI("H","Q",0,"T",AB65+273.15,"REFPROP::Water")/1000</f>
        <v>397.24646880635532</v>
      </c>
      <c r="AC68">
        <f>[1]!PropsSI("H","Q",0,"T",AC65+273.15,"REFPROP::Water")/1000</f>
        <v>393.45578439203268</v>
      </c>
      <c r="AD68">
        <f>[1]!PropsSI("H","Q",0,"T",AD65+273.15,"REFPROP::Water")/1000</f>
        <v>389.66597458324401</v>
      </c>
      <c r="AE68">
        <f>[1]!PropsSI("H","Q",0,"T",AE65+273.15,"REFPROP::Water")/1000</f>
        <v>380.82639619012366</v>
      </c>
      <c r="AF68">
        <f>[1]!PropsSI("H","Q",0,"T",AF65+273.15,"REFPROP::Water")/1000</f>
        <v>390.9291483383476</v>
      </c>
      <c r="AG68">
        <f>[1]!PropsSI("H","Q",0,"T",AG65+273.15,"REFPROP::Water")/1000</f>
        <v>146.96823867611872</v>
      </c>
      <c r="AH68">
        <f>[1]!PropsSI("H","Q",0,"T",AH65+273.15,"REFPROP::Water")/1000</f>
        <v>148.18037479696545</v>
      </c>
      <c r="AI68">
        <f>[1]!PropsSI("H","Q",0,"T",AI65+273.15,"REFPROP::Water")/1000</f>
        <v>263.74023177155993</v>
      </c>
      <c r="AJ68">
        <f>[1]!PropsSI("H","Q",0,"T",AJ65+273.15,"REFPROP::Water")/1000</f>
        <v>259.0925642753366</v>
      </c>
      <c r="AK68">
        <f>[1]!PropsSI("H","Q",0,"T",AK65+273.15,"REFPROP::Water")/1000</f>
        <v>368.20613898783972</v>
      </c>
      <c r="AL68">
        <f>[1]!PropsSI("H","Q",0,"T",AL65+273.15,"REFPROP::Water")/1000</f>
        <v>370.72948746438084</v>
      </c>
      <c r="AM68">
        <f>[1]!PropsSI("H","Q",0,"T",AM65+273.15,"REFPROP::Water")/1000</f>
        <v>374.93584151300809</v>
      </c>
      <c r="AN68">
        <f>[1]!PropsSI("H","Q",0,"T",AN65+273.15,"REFPROP::Water")/1000</f>
        <v>374.51516214373447</v>
      </c>
      <c r="AO68">
        <f>[1]!PropsSI("H","Q",0,"T",AO65+273.15,"REFPROP::Water")/1000</f>
        <v>370.72948746438084</v>
      </c>
      <c r="AP68">
        <f>[1]!PropsSI("H","Q",0,"T",AP65+273.15,"REFPROP::Water")/1000</f>
        <v>366.94459346481688</v>
      </c>
      <c r="AQ68">
        <f>[1]!PropsSI("H","Q",0,"T",AQ65+273.15,"REFPROP::Water")/1000</f>
        <v>382.50977442521724</v>
      </c>
      <c r="AR68">
        <f>[1]!PropsSI("H","Q",0,"T",AR65+273.15,"REFPROP::Water")/1000</f>
        <v>354.24968142376503</v>
      </c>
      <c r="AS68">
        <f>[1]!PropsSI("H","Q",0,"T",AS65+273.15,"REFPROP::Water")/1000</f>
        <v>146.88464301882308</v>
      </c>
      <c r="AT68">
        <f>[1]!PropsSI("H","Q",0,"T",AT65+273.15,"REFPROP::Water")/1000</f>
        <v>148.26397033854292</v>
      </c>
      <c r="AU68">
        <f>[1]!PropsSI("H","Q",0,"T",AU65+273.15,"REFPROP::Water")/1000</f>
        <v>190.23254145697024</v>
      </c>
      <c r="AV68">
        <f>[1]!PropsSI("H","Q",0,"T",AV65+273.15,"REFPROP::Water")/1000</f>
        <v>288.03604717939197</v>
      </c>
    </row>
    <row r="69" spans="1:48" x14ac:dyDescent="0.35">
      <c r="A69" t="s">
        <v>105</v>
      </c>
      <c r="B69">
        <f>(B67-B68)*B66/100+B68</f>
        <v>2639.6691619884837</v>
      </c>
      <c r="C69">
        <f t="shared" ref="C69:AR69" si="127">(C67-C68)*C66/100+C68</f>
        <v>2640.1794668712769</v>
      </c>
      <c r="D69">
        <f t="shared" si="127"/>
        <v>2640.3370775825565</v>
      </c>
      <c r="E69">
        <f t="shared" si="127"/>
        <v>2641.4650415500846</v>
      </c>
      <c r="F69">
        <f t="shared" si="127"/>
        <v>2643.294796359593</v>
      </c>
      <c r="G69">
        <f t="shared" si="127"/>
        <v>2644.6689886622844</v>
      </c>
      <c r="H69">
        <f t="shared" si="127"/>
        <v>2644.8912999765271</v>
      </c>
      <c r="I69" s="4">
        <f t="shared" si="127"/>
        <v>2651.7377696437957</v>
      </c>
      <c r="J69">
        <f t="shared" si="127"/>
        <v>2650.734746619029</v>
      </c>
      <c r="K69">
        <f t="shared" si="127"/>
        <v>2650.8909809843863</v>
      </c>
      <c r="L69">
        <f t="shared" si="127"/>
        <v>2663.7919144264229</v>
      </c>
      <c r="M69">
        <f t="shared" si="127"/>
        <v>2664.6158030818719</v>
      </c>
      <c r="N69">
        <f t="shared" si="127"/>
        <v>2741.0387104363926</v>
      </c>
      <c r="O69">
        <f t="shared" si="127"/>
        <v>2744.2427894432763</v>
      </c>
      <c r="P69">
        <f t="shared" si="127"/>
        <v>2689.6501744274719</v>
      </c>
      <c r="Q69">
        <f t="shared" si="127"/>
        <v>2573.6492698573416</v>
      </c>
      <c r="R69" s="6">
        <f t="shared" si="127"/>
        <v>2515.5004476865529</v>
      </c>
      <c r="S69">
        <f t="shared" si="127"/>
        <v>2509.9446614382132</v>
      </c>
      <c r="T69">
        <f t="shared" si="127"/>
        <v>2464.1519330567003</v>
      </c>
      <c r="U69">
        <f t="shared" si="127"/>
        <v>2468.0713407657859</v>
      </c>
      <c r="V69">
        <f t="shared" si="127"/>
        <v>2468.411620990988</v>
      </c>
      <c r="W69">
        <f t="shared" si="127"/>
        <v>2520.8915908729596</v>
      </c>
      <c r="X69">
        <f t="shared" si="127"/>
        <v>2538.8072863129773</v>
      </c>
      <c r="Y69">
        <f t="shared" si="127"/>
        <v>2585.4612394465421</v>
      </c>
      <c r="Z69">
        <f t="shared" si="127"/>
        <v>2586.4823657837223</v>
      </c>
      <c r="AA69">
        <f t="shared" si="127"/>
        <v>2588.1803833144195</v>
      </c>
      <c r="AB69">
        <f t="shared" si="127"/>
        <v>2590.792228628251</v>
      </c>
      <c r="AC69">
        <f t="shared" si="127"/>
        <v>2597.6742488787513</v>
      </c>
      <c r="AD69">
        <f t="shared" si="127"/>
        <v>2610.4839715656681</v>
      </c>
      <c r="AE69">
        <f t="shared" si="127"/>
        <v>2759.0413022183202</v>
      </c>
      <c r="AF69">
        <f t="shared" si="127"/>
        <v>2767.206883089832</v>
      </c>
      <c r="AG69">
        <f t="shared" si="127"/>
        <v>2561.3073567349229</v>
      </c>
      <c r="AH69">
        <f t="shared" si="127"/>
        <v>2515.1805213501984</v>
      </c>
      <c r="AI69">
        <f t="shared" si="127"/>
        <v>2556.2281940704834</v>
      </c>
      <c r="AJ69">
        <f t="shared" si="127"/>
        <v>2580.3548917780454</v>
      </c>
      <c r="AK69">
        <f t="shared" si="127"/>
        <v>2593.181945045776</v>
      </c>
      <c r="AL69">
        <f t="shared" si="127"/>
        <v>2594.8926109781173</v>
      </c>
      <c r="AM69">
        <f t="shared" si="127"/>
        <v>2597.5096954733444</v>
      </c>
      <c r="AN69">
        <f t="shared" si="127"/>
        <v>2598.938470381509</v>
      </c>
      <c r="AO69">
        <f t="shared" si="127"/>
        <v>2597.1789628731763</v>
      </c>
      <c r="AP69">
        <f t="shared" si="127"/>
        <v>2618.301986053099</v>
      </c>
      <c r="AQ69">
        <f t="shared" si="127"/>
        <v>2759.6462988334729</v>
      </c>
      <c r="AR69">
        <f t="shared" si="127"/>
        <v>2737.8962866430761</v>
      </c>
      <c r="AS69">
        <f>(AS67-AS68)*AS66/100+AS68</f>
        <v>2556.4358155643672</v>
      </c>
      <c r="AT69">
        <f t="shared" ref="AT69" si="128">(AT67-AT68)*AT66/100+AT68</f>
        <v>2521.5015902869809</v>
      </c>
      <c r="AU69">
        <f t="shared" ref="AU69" si="129">(AU67-AU68)*AU66/100+AU68</f>
        <v>2572.6610158298836</v>
      </c>
      <c r="AV69">
        <f t="shared" ref="AV69" si="130">(AV67-AV68)*AV66/100+AV68</f>
        <v>2663.7539887248536</v>
      </c>
    </row>
    <row r="70" spans="1:48" x14ac:dyDescent="0.35">
      <c r="A70" t="s">
        <v>107</v>
      </c>
      <c r="B70">
        <f>[1]!PropsSI("S","H",B69*1000,"T",B65+273.15,"REFPROP::Water")/1000</f>
        <v>7.086201639003737</v>
      </c>
      <c r="C70">
        <f>[1]!PropsSI("S","H",C69*1000,"T",C65+273.15,"REFPROP::Water")/1000</f>
        <v>7.0890026765987377</v>
      </c>
      <c r="D70">
        <f>[1]!PropsSI("S","H",D69*1000,"T",D65+273.15,"REFPROP::Water")/1000</f>
        <v>7.0879394186162603</v>
      </c>
      <c r="E70">
        <f>[1]!PropsSI("S","H",E69*1000,"T",E65+273.15,"REFPROP::Water")/1000</f>
        <v>7.0761897179237199</v>
      </c>
      <c r="F70">
        <f>[1]!PropsSI("S","H",F69*1000,"T",F65+273.15,"REFPROP::Water")/1000</f>
        <v>7.0721699637983564</v>
      </c>
      <c r="G70">
        <f>[1]!PropsSI("S","H",G69*1000,"T",G65+273.15,"REFPROP::Water")/1000</f>
        <v>7.0815754130695572</v>
      </c>
      <c r="H70">
        <f>[1]!PropsSI("S","H",H69*1000,"T",H65+273.15,"REFPROP::Water")/1000</f>
        <v>7.0821520213285192</v>
      </c>
      <c r="I70" s="4">
        <f>[1]!PropsSI("S","H",I69*1000,"T",I65+273.15,"REFPROP::Water")/1000</f>
        <v>7.1087368332643788</v>
      </c>
      <c r="J70">
        <f>[1]!PropsSI("S","H",J69*1000,"T",J65+273.15,"REFPROP::Water")/1000</f>
        <v>7.1135126010350049</v>
      </c>
      <c r="K70">
        <f>[1]!PropsSI("S","H",K69*1000,"T",K65+273.15,"REFPROP::Water")/1000</f>
        <v>7.1124405076757284</v>
      </c>
      <c r="L70">
        <f>[1]!PropsSI("S","H",L69*1000,"T",L65+273.15,"REFPROP::Water")/1000</f>
        <v>7.1654049268760751</v>
      </c>
      <c r="M70">
        <f>[1]!PropsSI("S","H",M69*1000,"T",M65+273.15,"REFPROP::Water")/1000</f>
        <v>7.1660541706409369</v>
      </c>
      <c r="N70">
        <f>[1]!PropsSI("S","H",N69*1000,"T",N65+273.15,"REFPROP::Water")/1000</f>
        <v>14.762595110504227</v>
      </c>
      <c r="O70">
        <f>[1]!PropsSI("S","H",O69*1000,"T",O65+273.15,"REFPROP::Water")/1000</f>
        <v>14.715094529595559</v>
      </c>
      <c r="P70">
        <f>[1]!PropsSI("S","H",P69*1000,"T",P65+273.15,"REFPROP::Water")/1000</f>
        <v>12.591405750109299</v>
      </c>
      <c r="Q70">
        <f>[1]!PropsSI("S","H",Q69*1000,"T",Q65+273.15,"REFPROP::Water")/1000</f>
        <v>8.1856621571052131</v>
      </c>
      <c r="R70" s="6">
        <f>[1]!PropsSI("S","H",R69*1000,"T",R65+273.15,"REFPROP::Water")/1000</f>
        <v>8.005888595072415</v>
      </c>
      <c r="S70">
        <f>[1]!PropsSI("S","H",S69*1000,"T",S65+273.15,"REFPROP::Water")/1000</f>
        <v>7.9887670885347974</v>
      </c>
      <c r="T70">
        <f>[1]!PropsSI("S","H",T69*1000,"T",T65+273.15,"REFPROP::Water")/1000</f>
        <v>7.8433264187661749</v>
      </c>
      <c r="U70">
        <f>[1]!PropsSI("S","H",U69*1000,"T",U65+273.15,"REFPROP::Water")/1000</f>
        <v>7.7859424298936508</v>
      </c>
      <c r="V70">
        <f>[1]!PropsSI("S","H",V69*1000,"T",V65+273.15,"REFPROP::Water")/1000</f>
        <v>7.7382068202441472</v>
      </c>
      <c r="W70">
        <f>[1]!PropsSI("S","H",W69*1000,"T",W65+273.15,"REFPROP::Water")/1000</f>
        <v>7.203656759149383</v>
      </c>
      <c r="X70">
        <f>[1]!PropsSI("S","H",X69*1000,"T",X65+273.15,"REFPROP::Water")/1000</f>
        <v>7.3057420427971653</v>
      </c>
      <c r="Y70">
        <f>[1]!PropsSI("S","H",Y69*1000,"T",Y65+273.15,"REFPROP::Water")/1000</f>
        <v>7.2179053454894975</v>
      </c>
      <c r="Z70">
        <f>[1]!PropsSI("S","H",Z69*1000,"T",Z65+273.15,"REFPROP::Water")/1000</f>
        <v>7.2109049929125399</v>
      </c>
      <c r="AA70">
        <f>[1]!PropsSI("S","H",AA69*1000,"T",AA65+273.15,"REFPROP::Water")/1000</f>
        <v>7.1993026450108299</v>
      </c>
      <c r="AB70">
        <f>[1]!PropsSI("S","H",AB69*1000,"T",AB65+273.15,"REFPROP::Water")/1000</f>
        <v>7.2096369340284898</v>
      </c>
      <c r="AC70">
        <f>[1]!PropsSI("S","H",AC69*1000,"T",AC65+273.15,"REFPROP::Water")/1000</f>
        <v>7.2430244582697441</v>
      </c>
      <c r="AD70">
        <f>[1]!PropsSI("S","H",AD69*1000,"T",AD65+273.15,"REFPROP::Water")/1000</f>
        <v>7.2927905345061843</v>
      </c>
      <c r="AE70">
        <f>[1]!PropsSI("S","H",AE69*1000,"T",AE65+273.15,"REFPROP::Water")/1000</f>
        <v>14.657553563872334</v>
      </c>
      <c r="AF70">
        <f>[1]!PropsSI("S","H",AF69*1000,"T",AF65+273.15,"REFPROP::Water")/1000</f>
        <v>14.470299257107341</v>
      </c>
      <c r="AG70">
        <f>[1]!PropsSI("S","H",AG69*1000,"T",AG65+273.15,"REFPROP::Water")/1000</f>
        <v>8.3391293561538156</v>
      </c>
      <c r="AH70">
        <f>[1]!PropsSI("S","H",AH69*1000,"T",AH65+273.15,"REFPROP::Water")/1000</f>
        <v>8.1822581572132496</v>
      </c>
      <c r="AI70">
        <f>[1]!PropsSI("S","H",AI69*1000,"T",AI65+273.15,"REFPROP::Water")/1000</f>
        <v>7.6886520721848965</v>
      </c>
      <c r="AJ70">
        <f>[1]!PropsSI("S","H",AJ69*1000,"T",AJ65+273.15,"REFPROP::Water")/1000</f>
        <v>7.7832841889184188</v>
      </c>
      <c r="AK70">
        <f>[1]!PropsSI("S","H",AK69*1000,"T",AK65+273.15,"REFPROP::Water")/1000</f>
        <v>7.3309999308194191</v>
      </c>
      <c r="AL70">
        <f>[1]!PropsSI("S","H",AL69*1000,"T",AL65+273.15,"REFPROP::Water")/1000</f>
        <v>7.3255075735527884</v>
      </c>
      <c r="AM70">
        <f>[1]!PropsSI("S","H",AM69*1000,"T",AM65+273.15,"REFPROP::Water")/1000</f>
        <v>7.3157741511546543</v>
      </c>
      <c r="AN70">
        <f>[1]!PropsSI("S","H",AN69*1000,"T",AN65+273.15,"REFPROP::Water")/1000</f>
        <v>7.3214064069758997</v>
      </c>
      <c r="AO70">
        <f>[1]!PropsSI("S","H",AO69*1000,"T",AO65+273.15,"REFPROP::Water")/1000</f>
        <v>7.3318295751981877</v>
      </c>
      <c r="AP70">
        <f>[1]!PropsSI("S","H",AP69*1000,"T",AP65+273.15,"REFPROP::Water")/1000</f>
        <v>7.4057610924369062</v>
      </c>
      <c r="AQ70">
        <f>[1]!PropsSI("S","H",AQ69*1000,"T",AQ65+273.15,"REFPROP::Water")/1000</f>
        <v>14.626140644625185</v>
      </c>
      <c r="AR70">
        <f>[1]!PropsSI("S","H",AR69*1000,"T",AR65+273.15,"REFPROP::Water")/1000</f>
        <v>15.16501728944737</v>
      </c>
      <c r="AS70">
        <f>[1]!PropsSI("S","H",AS69*1000,"T",AS65+273.15,"REFPROP::Water")/1000</f>
        <v>8.3238317542230185</v>
      </c>
      <c r="AT70">
        <f>[1]!PropsSI("S","H",AT69*1000,"T",AT65+273.15,"REFPROP::Water")/1000</f>
        <v>8.2022478603849187</v>
      </c>
      <c r="AU70">
        <f>[1]!PropsSI("S","H",AU69*1000,"T",AU65+273.15,"REFPROP::Water")/1000</f>
        <v>8.1225341465170082</v>
      </c>
      <c r="AV70">
        <f>[1]!PropsSI("S","H",AV69*1000,"T",AV65+273.15,"REFPROP::Water")/1000</f>
        <v>12.913611552307113</v>
      </c>
    </row>
    <row r="71" spans="1:48" x14ac:dyDescent="0.35">
      <c r="A71" t="s">
        <v>100</v>
      </c>
      <c r="B71">
        <f>B29</f>
        <v>7.0000000000000001E-3</v>
      </c>
      <c r="C71">
        <f t="shared" ref="C71:AR71" si="131">C29</f>
        <v>6.8999999999999999E-3</v>
      </c>
      <c r="D71">
        <f t="shared" si="131"/>
        <v>8.3999999999999995E-3</v>
      </c>
      <c r="E71">
        <f t="shared" si="131"/>
        <v>8.5000000000000006E-3</v>
      </c>
      <c r="F71">
        <f t="shared" si="131"/>
        <v>0.01</v>
      </c>
      <c r="G71">
        <f t="shared" si="131"/>
        <v>1.06E-2</v>
      </c>
      <c r="H71">
        <f t="shared" si="131"/>
        <v>1.06E-2</v>
      </c>
      <c r="I71" s="4">
        <f t="shared" si="131"/>
        <v>8.0000000000000002E-3</v>
      </c>
      <c r="J71">
        <f t="shared" si="131"/>
        <v>0.01</v>
      </c>
      <c r="K71">
        <f t="shared" si="131"/>
        <v>1.32E-2</v>
      </c>
      <c r="L71">
        <f t="shared" si="131"/>
        <v>0.02</v>
      </c>
      <c r="M71">
        <f t="shared" si="131"/>
        <v>2.52E-2</v>
      </c>
      <c r="N71">
        <f t="shared" si="131"/>
        <v>3.3999999999999998E-3</v>
      </c>
      <c r="O71">
        <f t="shared" si="131"/>
        <v>3.3999999999999998E-3</v>
      </c>
      <c r="P71">
        <f t="shared" si="131"/>
        <v>3.3999999999999998E-3</v>
      </c>
      <c r="Q71">
        <f t="shared" si="131"/>
        <v>3.3999999999999998E-3</v>
      </c>
      <c r="R71" s="6">
        <f t="shared" si="131"/>
        <v>3.3999999999999998E-3</v>
      </c>
      <c r="S71">
        <f t="shared" si="131"/>
        <v>3.3999999999999998E-3</v>
      </c>
      <c r="T71">
        <f t="shared" si="131"/>
        <v>3.5999999999999999E-3</v>
      </c>
      <c r="U71">
        <f t="shared" si="131"/>
        <v>6.3E-3</v>
      </c>
      <c r="V71">
        <f t="shared" si="131"/>
        <v>8.2000000000000007E-3</v>
      </c>
      <c r="W71">
        <f t="shared" si="131"/>
        <v>6.1000000000000004E-3</v>
      </c>
      <c r="X71">
        <f t="shared" si="131"/>
        <v>9.7000000000000003E-3</v>
      </c>
      <c r="Y71">
        <f t="shared" si="131"/>
        <v>6.0000000000000001E-3</v>
      </c>
      <c r="Z71">
        <f t="shared" si="131"/>
        <v>7.0000000000000001E-3</v>
      </c>
      <c r="AA71">
        <f t="shared" si="131"/>
        <v>8.0000000000000002E-3</v>
      </c>
      <c r="AB71">
        <f t="shared" si="131"/>
        <v>8.9999999999999993E-3</v>
      </c>
      <c r="AC71">
        <f t="shared" si="131"/>
        <v>1.0999999999999999E-2</v>
      </c>
      <c r="AD71">
        <f t="shared" si="131"/>
        <v>1.7000000000000001E-2</v>
      </c>
      <c r="AE71">
        <f t="shared" si="131"/>
        <v>1.8E-3</v>
      </c>
      <c r="AF71">
        <f t="shared" si="131"/>
        <v>2.0999999999999999E-3</v>
      </c>
      <c r="AG71">
        <f t="shared" si="131"/>
        <v>2.3999999999999998E-3</v>
      </c>
      <c r="AH71">
        <f t="shared" si="131"/>
        <v>2.7000000000000001E-3</v>
      </c>
      <c r="AI71">
        <f t="shared" si="131"/>
        <v>5.0000000000000001E-3</v>
      </c>
      <c r="AJ71">
        <f t="shared" si="131"/>
        <v>1.06E-2</v>
      </c>
      <c r="AK71">
        <f t="shared" si="131"/>
        <v>4.7999999999999996E-3</v>
      </c>
      <c r="AL71">
        <f t="shared" si="131"/>
        <v>5.7000000000000002E-3</v>
      </c>
      <c r="AM71">
        <f t="shared" si="131"/>
        <v>6.6E-3</v>
      </c>
      <c r="AN71">
        <f t="shared" si="131"/>
        <v>7.3000000000000001E-3</v>
      </c>
      <c r="AO71">
        <f t="shared" si="131"/>
        <v>9.1999999999999998E-3</v>
      </c>
      <c r="AP71">
        <f t="shared" si="131"/>
        <v>1.47E-2</v>
      </c>
      <c r="AQ71">
        <f t="shared" si="131"/>
        <v>1.6999999999999999E-3</v>
      </c>
      <c r="AR71">
        <f t="shared" si="131"/>
        <v>2.0999999999999999E-3</v>
      </c>
      <c r="AS71">
        <f>AS29</f>
        <v>2.3999999999999998E-3</v>
      </c>
      <c r="AT71">
        <f t="shared" ref="AT71:AV71" si="132">AT29</f>
        <v>2.7000000000000001E-3</v>
      </c>
      <c r="AU71">
        <f t="shared" si="132"/>
        <v>3.8999999999999998E-3</v>
      </c>
      <c r="AV71">
        <f t="shared" si="132"/>
        <v>8.5000000000000006E-3</v>
      </c>
    </row>
    <row r="72" spans="1:48" x14ac:dyDescent="0.35">
      <c r="A72" t="s">
        <v>104</v>
      </c>
      <c r="B72">
        <f t="shared" ref="B72:AV72" si="133">IF(B30&lt;0,100+B30,B30)</f>
        <v>89.73</v>
      </c>
      <c r="C72">
        <f t="shared" si="133"/>
        <v>89.75</v>
      </c>
      <c r="D72">
        <f t="shared" si="133"/>
        <v>89.960000000000008</v>
      </c>
      <c r="E72">
        <f t="shared" si="133"/>
        <v>90.05</v>
      </c>
      <c r="F72">
        <f t="shared" si="133"/>
        <v>90.27</v>
      </c>
      <c r="G72">
        <f t="shared" si="133"/>
        <v>90.539999999999992</v>
      </c>
      <c r="H72">
        <f t="shared" si="133"/>
        <v>90.55</v>
      </c>
      <c r="I72" s="4">
        <f t="shared" si="133"/>
        <v>90.22</v>
      </c>
      <c r="J72">
        <f t="shared" si="133"/>
        <v>90.8</v>
      </c>
      <c r="K72">
        <f t="shared" si="133"/>
        <v>91.32</v>
      </c>
      <c r="L72">
        <f t="shared" si="133"/>
        <v>92.9</v>
      </c>
      <c r="M72">
        <f t="shared" si="133"/>
        <v>93.48</v>
      </c>
      <c r="N72">
        <f t="shared" si="133"/>
        <v>100.3</v>
      </c>
      <c r="O72">
        <f t="shared" si="133"/>
        <v>100.3</v>
      </c>
      <c r="P72">
        <f t="shared" si="133"/>
        <v>99.35</v>
      </c>
      <c r="Q72">
        <f t="shared" si="133"/>
        <v>97.04</v>
      </c>
      <c r="R72" s="6">
        <f t="shared" si="133"/>
        <v>94.88</v>
      </c>
      <c r="S72">
        <f t="shared" si="133"/>
        <v>94.68</v>
      </c>
      <c r="T72">
        <f t="shared" si="133"/>
        <v>92.07</v>
      </c>
      <c r="U72">
        <f t="shared" si="133"/>
        <v>93.96</v>
      </c>
      <c r="V72">
        <f t="shared" si="133"/>
        <v>94.1</v>
      </c>
      <c r="W72">
        <f t="shared" si="133"/>
        <v>89.31</v>
      </c>
      <c r="X72">
        <f t="shared" si="133"/>
        <v>91.35</v>
      </c>
      <c r="Y72">
        <f t="shared" si="133"/>
        <v>90</v>
      </c>
      <c r="Z72">
        <f t="shared" si="133"/>
        <v>90.3</v>
      </c>
      <c r="AA72">
        <f t="shared" si="133"/>
        <v>90.5</v>
      </c>
      <c r="AB72">
        <f t="shared" si="133"/>
        <v>90.8</v>
      </c>
      <c r="AC72">
        <f t="shared" si="133"/>
        <v>91.6</v>
      </c>
      <c r="AD72">
        <f t="shared" si="133"/>
        <v>93.3</v>
      </c>
      <c r="AE72">
        <f t="shared" si="133"/>
        <v>100.2</v>
      </c>
      <c r="AF72">
        <f t="shared" si="133"/>
        <v>100.8</v>
      </c>
      <c r="AG72">
        <f t="shared" si="133"/>
        <v>97.32</v>
      </c>
      <c r="AH72">
        <f t="shared" si="133"/>
        <v>95.82</v>
      </c>
      <c r="AI72">
        <f t="shared" si="133"/>
        <v>93.44</v>
      </c>
      <c r="AJ72">
        <f t="shared" si="133"/>
        <v>96.18</v>
      </c>
      <c r="AK72">
        <f t="shared" si="133"/>
        <v>90.73</v>
      </c>
      <c r="AL72">
        <f t="shared" si="133"/>
        <v>91.08</v>
      </c>
      <c r="AM72">
        <f t="shared" si="133"/>
        <v>91.32</v>
      </c>
      <c r="AN72">
        <f t="shared" si="133"/>
        <v>91.6</v>
      </c>
      <c r="AO72">
        <f t="shared" si="133"/>
        <v>92.06</v>
      </c>
      <c r="AP72">
        <f t="shared" si="133"/>
        <v>94.13</v>
      </c>
      <c r="AQ72">
        <f t="shared" si="133"/>
        <v>100.3</v>
      </c>
      <c r="AR72">
        <f t="shared" si="133"/>
        <v>100.4</v>
      </c>
      <c r="AS72">
        <f t="shared" si="133"/>
        <v>97.18</v>
      </c>
      <c r="AT72">
        <f t="shared" si="133"/>
        <v>96.09</v>
      </c>
      <c r="AU72">
        <f t="shared" si="133"/>
        <v>96.89</v>
      </c>
      <c r="AV72">
        <f t="shared" si="133"/>
        <v>101.1</v>
      </c>
    </row>
    <row r="73" spans="1:48" x14ac:dyDescent="0.35">
      <c r="A73" t="s">
        <v>110</v>
      </c>
      <c r="B73">
        <f>[1]!PropsSI("H","Q",1,"P",B71*1000000,"REFPROP::Water")/1000</f>
        <v>2571.7207181420863</v>
      </c>
      <c r="C73">
        <f>[1]!PropsSI("H","Q",1,"P",C71*1000000,"REFPROP::Water")/1000</f>
        <v>2571.2416076348463</v>
      </c>
      <c r="D73">
        <f>[1]!PropsSI("H","Q",1,"P",D71*1000000,"REFPROP::Water")/1000</f>
        <v>2577.8620064794609</v>
      </c>
      <c r="E73">
        <f>[1]!PropsSI("H","Q",1,"P",E71*1000000,"REFPROP::Water")/1000</f>
        <v>2578.2651830202112</v>
      </c>
      <c r="F73">
        <f>[1]!PropsSI("H","Q",1,"P",F71*1000000,"REFPROP::Water")/1000</f>
        <v>2583.8586717924172</v>
      </c>
      <c r="G73">
        <f>[1]!PropsSI("H","Q",1,"P",G71*1000000,"REFPROP::Water")/1000</f>
        <v>2585.8901284949789</v>
      </c>
      <c r="H73">
        <f>[1]!PropsSI("H","Q",1,"P",H71*1000000,"REFPROP::Water")/1000</f>
        <v>2585.8901284949789</v>
      </c>
      <c r="I73" s="4">
        <f>[1]!PropsSI("H","Q",1,"P",I71*1000000,"REFPROP::Water")/1000</f>
        <v>2576.2057038992689</v>
      </c>
      <c r="J73">
        <f>[1]!PropsSI("H","Q",1,"P",J71*1000000,"REFPROP::Water")/1000</f>
        <v>2583.8586717924172</v>
      </c>
      <c r="K73">
        <f>[1]!PropsSI("H","Q",1,"P",K71*1000000,"REFPROP::Water")/1000</f>
        <v>2593.6626386939683</v>
      </c>
      <c r="L73">
        <f>[1]!PropsSI("H","Q",1,"P",L71*1000000,"REFPROP::Water")/1000</f>
        <v>2608.9357931490963</v>
      </c>
      <c r="M73">
        <f>[1]!PropsSI("H","Q",1,"P",M71*1000000,"REFPROP::Water")/1000</f>
        <v>2617.7481287747651</v>
      </c>
      <c r="N73">
        <f>[1]!PropsSI("H","Q",1,"P",N71*1000000,"REFPROP::Water")/1000</f>
        <v>2548.6429456154033</v>
      </c>
      <c r="O73">
        <f>[1]!PropsSI("H","Q",1,"P",O71*1000000,"REFPROP::Water")/1000</f>
        <v>2548.6429456154033</v>
      </c>
      <c r="P73">
        <f>[1]!PropsSI("H","Q",1,"P",P71*1000000,"REFPROP::Water")/1000</f>
        <v>2548.6429456154033</v>
      </c>
      <c r="Q73">
        <f>[1]!PropsSI("H","Q",1,"P",Q71*1000000,"REFPROP::Water")/1000</f>
        <v>2548.6429456154033</v>
      </c>
      <c r="R73" s="6">
        <f>[1]!PropsSI("H","Q",1,"P",R71*1000000,"REFPROP::Water")/1000</f>
        <v>2548.6429456154033</v>
      </c>
      <c r="S73">
        <f>[1]!PropsSI("H","Q",1,"P",S71*1000000,"REFPROP::Water")/1000</f>
        <v>2548.6429456154033</v>
      </c>
      <c r="T73">
        <f>[1]!PropsSI("H","Q",1,"P",T71*1000000,"REFPROP::Water")/1000</f>
        <v>2550.3996261192883</v>
      </c>
      <c r="U73">
        <f>[1]!PropsSI("H","Q",1,"P",U71*1000000,"REFPROP::Water")/1000</f>
        <v>2568.2310768291977</v>
      </c>
      <c r="V73">
        <f>[1]!PropsSI("H","Q",1,"P",V71*1000000,"REFPROP::Water")/1000</f>
        <v>2577.042773920381</v>
      </c>
      <c r="W73">
        <f>[1]!PropsSI("H","Q",1,"P",W71*1000000,"REFPROP::Water")/1000</f>
        <v>2567.1711452072191</v>
      </c>
      <c r="X73">
        <f>[1]!PropsSI("H","Q",1,"P",X71*1000000,"REFPROP::Water")/1000</f>
        <v>2582.8022414708075</v>
      </c>
      <c r="Y73">
        <f>[1]!PropsSI("H","Q",1,"P",Y71*1000000,"REFPROP::Water")/1000</f>
        <v>2566.6296232166846</v>
      </c>
      <c r="Z73">
        <f>[1]!PropsSI("H","Q",1,"P",Z71*1000000,"REFPROP::Water")/1000</f>
        <v>2571.7207181420863</v>
      </c>
      <c r="AA73">
        <f>[1]!PropsSI("H","Q",1,"P",AA71*1000000,"REFPROP::Water")/1000</f>
        <v>2576.2057038992689</v>
      </c>
      <c r="AB73">
        <f>[1]!PropsSI("H","Q",1,"P",AB71*1000000,"REFPROP::Water")/1000</f>
        <v>2580.2203317135595</v>
      </c>
      <c r="AC73">
        <f>[1]!PropsSI("H","Q",1,"P",AC71*1000000,"REFPROP::Water")/1000</f>
        <v>2587.188708091604</v>
      </c>
      <c r="AD73">
        <f>[1]!PropsSI("H","Q",1,"P",AD71*1000000,"REFPROP::Water")/1000</f>
        <v>2602.87531553694</v>
      </c>
      <c r="AE73">
        <f>[1]!PropsSI("H","Q",1,"P",AE71*1000000,"REFPROP::Water")/1000</f>
        <v>2529.8590585577267</v>
      </c>
      <c r="AF73">
        <f>[1]!PropsSI("H","Q",1,"P",AF71*1000000,"REFPROP::Water")/1000</f>
        <v>2534.2867582631648</v>
      </c>
      <c r="AG73">
        <f>[1]!PropsSI("H","Q",1,"P",AG71*1000000,"REFPROP::Water")/1000</f>
        <v>2538.1858193480803</v>
      </c>
      <c r="AH73">
        <f>[1]!PropsSI("H","Q",1,"P",AH71*1000000,"REFPROP::Water")/1000</f>
        <v>2541.6750400219448</v>
      </c>
      <c r="AI73">
        <f>[1]!PropsSI("H","Q",1,"P",AI71*1000000,"REFPROP::Water")/1000</f>
        <v>2560.7254903782864</v>
      </c>
      <c r="AJ73">
        <f>[1]!PropsSI("H","Q",1,"P",AJ71*1000000,"REFPROP::Water")/1000</f>
        <v>2585.8901284949789</v>
      </c>
      <c r="AK73">
        <f>[1]!PropsSI("H","Q",1,"P",AK71*1000000,"REFPROP::Water")/1000</f>
        <v>2559.4207026956178</v>
      </c>
      <c r="AL73">
        <f>[1]!PropsSI("H","Q",1,"P",AL71*1000000,"REFPROP::Water")/1000</f>
        <v>2564.9558399730199</v>
      </c>
      <c r="AM73">
        <f>[1]!PropsSI("H","Q",1,"P",AM71*1000000,"REFPROP::Water")/1000</f>
        <v>2569.7665585061254</v>
      </c>
      <c r="AN73">
        <f>[1]!PropsSI("H","Q",1,"P",AN71*1000000,"REFPROP::Water")/1000</f>
        <v>2573.1226438807744</v>
      </c>
      <c r="AO73">
        <f>[1]!PropsSI("H","Q",1,"P",AO71*1000000,"REFPROP::Water")/1000</f>
        <v>2580.9756219505248</v>
      </c>
      <c r="AP73">
        <f>[1]!PropsSI("H","Q",1,"P",AP71*1000000,"REFPROP::Water")/1000</f>
        <v>2597.549129927414</v>
      </c>
      <c r="AQ73">
        <f>[1]!PropsSI("H","Q",1,"P",AQ71*1000000,"REFPROP::Water")/1000</f>
        <v>2528.236946668238</v>
      </c>
      <c r="AR73">
        <f>[1]!PropsSI("H","Q",1,"P",AR71*1000000,"REFPROP::Water")/1000</f>
        <v>2534.2867582631648</v>
      </c>
      <c r="AS73">
        <f>[1]!PropsSI("H","Q",1,"P",AS71*1000000,"REFPROP::Water")/1000</f>
        <v>2538.1858193480803</v>
      </c>
      <c r="AT73">
        <f>[1]!PropsSI("H","Q",1,"P",AT71*1000000,"REFPROP::Water")/1000</f>
        <v>2541.6750400219448</v>
      </c>
      <c r="AU73">
        <f>[1]!PropsSI("H","Q",1,"P",AU71*1000000,"REFPROP::Water")/1000</f>
        <v>2552.8793148315999</v>
      </c>
      <c r="AV73">
        <f>[1]!PropsSI("H","Q",1,"P",AV71*1000000,"REFPROP::Water")/1000</f>
        <v>2578.2651830202112</v>
      </c>
    </row>
    <row r="74" spans="1:48" x14ac:dyDescent="0.35">
      <c r="A74" t="s">
        <v>111</v>
      </c>
      <c r="B74">
        <f>[1]!PropsSI("H","Q",0,"P",B71*1000000,"REFPROP::Water")/1000</f>
        <v>163.35126736826973</v>
      </c>
      <c r="C74">
        <f>[1]!PropsSI("H","Q",0,"P",C71*1000000,"REFPROP::Water")/1000</f>
        <v>162.23246950570174</v>
      </c>
      <c r="D74">
        <f>[1]!PropsSI("H","Q",0,"P",D71*1000000,"REFPROP::Water")/1000</f>
        <v>177.72051318166774</v>
      </c>
      <c r="E74">
        <f>[1]!PropsSI("H","Q",0,"P",E71*1000000,"REFPROP::Water")/1000</f>
        <v>178.66577327492524</v>
      </c>
      <c r="F74">
        <f>[1]!PropsSI("H","Q",0,"P",F71*1000000,"REFPROP::Water")/1000</f>
        <v>191.80594456034814</v>
      </c>
      <c r="G74">
        <f>[1]!PropsSI("H","Q",0,"P",G71*1000000,"REFPROP::Water")/1000</f>
        <v>196.59079123280941</v>
      </c>
      <c r="H74">
        <f>[1]!PropsSI("H","Q",0,"P",H71*1000000,"REFPROP::Water")/1000</f>
        <v>196.59079123280941</v>
      </c>
      <c r="I74" s="4">
        <f>[1]!PropsSI("H","Q",0,"P",I71*1000000,"REFPROP::Water")/1000</f>
        <v>173.83980036994706</v>
      </c>
      <c r="J74">
        <f>[1]!PropsSI("H","Q",0,"P",J71*1000000,"REFPROP::Water")/1000</f>
        <v>191.80594456034814</v>
      </c>
      <c r="K74">
        <f>[1]!PropsSI("H","Q",0,"P",K71*1000000,"REFPROP::Water")/1000</f>
        <v>214.96502674075879</v>
      </c>
      <c r="L74">
        <f>[1]!PropsSI("H","Q",0,"P",L71*1000000,"REFPROP::Water")/1000</f>
        <v>251.42296955775217</v>
      </c>
      <c r="M74">
        <f>[1]!PropsSI("H","Q",0,"P",M71*1000000,"REFPROP::Water")/1000</f>
        <v>272.70677092284774</v>
      </c>
      <c r="N74">
        <f>[1]!PropsSI("H","Q",0,"P",N71*1000000,"REFPROP::Water")/1000</f>
        <v>109.76597963088028</v>
      </c>
      <c r="O74">
        <f>[1]!PropsSI("H","Q",0,"P",O71*1000000,"REFPROP::Water")/1000</f>
        <v>109.76597963088028</v>
      </c>
      <c r="P74">
        <f>[1]!PropsSI("H","Q",0,"P",P71*1000000,"REFPROP::Water")/1000</f>
        <v>109.76597963088028</v>
      </c>
      <c r="Q74">
        <f>[1]!PropsSI("H","Q",0,"P",Q71*1000000,"REFPROP::Water")/1000</f>
        <v>109.76597963088028</v>
      </c>
      <c r="R74" s="6">
        <f>[1]!PropsSI("H","Q",0,"P",R71*1000000,"REFPROP::Water")/1000</f>
        <v>109.76597963088028</v>
      </c>
      <c r="S74">
        <f>[1]!PropsSI("H","Q",0,"P",S71*1000000,"REFPROP::Water")/1000</f>
        <v>109.76597963088028</v>
      </c>
      <c r="T74">
        <f>[1]!PropsSI("H","Q",0,"P",T71*1000000,"REFPROP::Water")/1000</f>
        <v>113.82593054421164</v>
      </c>
      <c r="U74">
        <f>[1]!PropsSI("H","Q",0,"P",U71*1000000,"REFPROP::Water")/1000</f>
        <v>155.20933950960088</v>
      </c>
      <c r="V74">
        <f>[1]!PropsSI("H","Q",0,"P",V71*1000000,"REFPROP::Water")/1000</f>
        <v>175.80054603172846</v>
      </c>
      <c r="W74">
        <f>[1]!PropsSI("H","Q",0,"P",W71*1000000,"REFPROP::Water")/1000</f>
        <v>152.73944235997433</v>
      </c>
      <c r="X74">
        <f>[1]!PropsSI("H","Q",0,"P",X71*1000000,"REFPROP::Water")/1000</f>
        <v>189.32036360272275</v>
      </c>
      <c r="Y74">
        <f>[1]!PropsSI("H","Q",0,"P",Y71*1000000,"REFPROP::Water")/1000</f>
        <v>151.47810613605924</v>
      </c>
      <c r="Z74">
        <f>[1]!PropsSI("H","Q",0,"P",Z71*1000000,"REFPROP::Water")/1000</f>
        <v>163.35126736826973</v>
      </c>
      <c r="AA74">
        <f>[1]!PropsSI("H","Q",0,"P",AA71*1000000,"REFPROP::Water")/1000</f>
        <v>173.83980036994706</v>
      </c>
      <c r="AB74">
        <f>[1]!PropsSI("H","Q",0,"P",AB71*1000000,"REFPROP::Water")/1000</f>
        <v>183.2531923816498</v>
      </c>
      <c r="AC74">
        <f>[1]!PropsSI("H","Q",0,"P",AC71*1000000,"REFPROP::Water")/1000</f>
        <v>199.65311336049228</v>
      </c>
      <c r="AD74">
        <f>[1]!PropsSI("H","Q",0,"P",AD71*1000000,"REFPROP::Water")/1000</f>
        <v>236.89557264491043</v>
      </c>
      <c r="AE74">
        <f>[1]!PropsSI("H","Q",0,"P",AE71*1000000,"REFPROP::Water")/1000</f>
        <v>66.488757555162167</v>
      </c>
      <c r="AF74">
        <f>[1]!PropsSI("H","Q",0,"P",AF71*1000000,"REFPROP::Water")/1000</f>
        <v>76.671617485796347</v>
      </c>
      <c r="AG74">
        <f>[1]!PropsSI("H","Q",0,"P",AG71*1000000,"REFPROP::Water")/1000</f>
        <v>85.646768973532005</v>
      </c>
      <c r="AH74">
        <f>[1]!PropsSI("H","Q",0,"P",AH71*1000000,"REFPROP::Water")/1000</f>
        <v>93.68611475963651</v>
      </c>
      <c r="AI74">
        <f>[1]!PropsSI("H","Q",0,"P",AI71*1000000,"REFPROP::Water")/1000</f>
        <v>137.74859559802394</v>
      </c>
      <c r="AJ74">
        <f>[1]!PropsSI("H","Q",0,"P",AJ71*1000000,"REFPROP::Water")/1000</f>
        <v>196.59079123280941</v>
      </c>
      <c r="AK74">
        <f>[1]!PropsSI("H","Q",0,"P",AK71*1000000,"REFPROP::Water")/1000</f>
        <v>134.71975512057958</v>
      </c>
      <c r="AL74">
        <f>[1]!PropsSI("H","Q",0,"P",AL71*1000000,"REFPROP::Water")/1000</f>
        <v>147.58172505264156</v>
      </c>
      <c r="AM74">
        <f>[1]!PropsSI("H","Q",0,"P",AM71*1000000,"REFPROP::Water")/1000</f>
        <v>158.78991811751175</v>
      </c>
      <c r="AN74">
        <f>[1]!PropsSI("H","Q",0,"P",AN71*1000000,"REFPROP::Water")/1000</f>
        <v>166.62677333210652</v>
      </c>
      <c r="AO74">
        <f>[1]!PropsSI("H","Q",0,"P",AO71*1000000,"REFPROP::Water")/1000</f>
        <v>185.02693645807943</v>
      </c>
      <c r="AP74">
        <f>[1]!PropsSI("H","Q",0,"P",AP71*1000000,"REFPROP::Water")/1000</f>
        <v>224.19546240187211</v>
      </c>
      <c r="AQ74">
        <f>[1]!PropsSI("H","Q",0,"P",AQ71*1000000,"REFPROP::Water")/1000</f>
        <v>62.760251578597163</v>
      </c>
      <c r="AR74">
        <f>[1]!PropsSI("H","Q",0,"P",AR71*1000000,"REFPROP::Water")/1000</f>
        <v>76.671617485796347</v>
      </c>
      <c r="AS74">
        <f>[1]!PropsSI("H","Q",0,"P",AS71*1000000,"REFPROP::Water")/1000</f>
        <v>85.646768973532005</v>
      </c>
      <c r="AT74">
        <f>[1]!PropsSI("H","Q",0,"P",AT71*1000000,"REFPROP::Water")/1000</f>
        <v>93.68611475963651</v>
      </c>
      <c r="AU74">
        <f>[1]!PropsSI("H","Q",0,"P",AU71*1000000,"REFPROP::Water")/1000</f>
        <v>119.56144492555698</v>
      </c>
      <c r="AV74">
        <f>[1]!PropsSI("H","Q",0,"P",AV71*1000000,"REFPROP::Water")/1000</f>
        <v>178.66577327492524</v>
      </c>
    </row>
    <row r="75" spans="1:48" x14ac:dyDescent="0.35">
      <c r="A75" t="s">
        <v>105</v>
      </c>
      <c r="B75">
        <f>(B73-B74)*B72/100+B74</f>
        <v>2324.3811755476154</v>
      </c>
      <c r="C75">
        <f t="shared" ref="C75:AR75" si="134">(C73-C74)*C72/100+C74</f>
        <v>2324.3181709766091</v>
      </c>
      <c r="D75">
        <f t="shared" si="134"/>
        <v>2336.8878005523625</v>
      </c>
      <c r="E75">
        <f t="shared" si="134"/>
        <v>2339.5050417505554</v>
      </c>
      <c r="F75">
        <f t="shared" si="134"/>
        <v>2351.1119414327368</v>
      </c>
      <c r="G75">
        <f t="shared" si="134"/>
        <v>2359.8624111899771</v>
      </c>
      <c r="H75">
        <f t="shared" si="134"/>
        <v>2360.1013411237036</v>
      </c>
      <c r="I75" s="4">
        <f t="shared" si="134"/>
        <v>2341.2543185341015</v>
      </c>
      <c r="J75">
        <f t="shared" si="134"/>
        <v>2363.7898208870665</v>
      </c>
      <c r="K75">
        <f t="shared" si="134"/>
        <v>2387.1916859764297</v>
      </c>
      <c r="L75">
        <f t="shared" si="134"/>
        <v>2441.552382674111</v>
      </c>
      <c r="M75">
        <f t="shared" si="134"/>
        <v>2464.85143224282</v>
      </c>
      <c r="N75">
        <f t="shared" si="134"/>
        <v>2555.9595765133568</v>
      </c>
      <c r="O75">
        <f t="shared" si="134"/>
        <v>2555.9595765133568</v>
      </c>
      <c r="P75">
        <f t="shared" si="134"/>
        <v>2532.7902453365041</v>
      </c>
      <c r="Q75">
        <f t="shared" si="134"/>
        <v>2476.4521874222614</v>
      </c>
      <c r="R75" s="6">
        <f t="shared" si="134"/>
        <v>2423.7724449569955</v>
      </c>
      <c r="S75">
        <f t="shared" si="134"/>
        <v>2418.8946910250265</v>
      </c>
      <c r="T75">
        <f t="shared" si="134"/>
        <v>2357.1793320601846</v>
      </c>
      <c r="U75">
        <f t="shared" si="134"/>
        <v>2422.4845638950942</v>
      </c>
      <c r="V75">
        <f t="shared" si="134"/>
        <v>2435.3694824749505</v>
      </c>
      <c r="W75">
        <f t="shared" si="134"/>
        <v>2309.0683961728487</v>
      </c>
      <c r="X75">
        <f t="shared" si="134"/>
        <v>2375.7660590352179</v>
      </c>
      <c r="Y75">
        <f t="shared" si="134"/>
        <v>2325.114471508622</v>
      </c>
      <c r="Z75">
        <f t="shared" si="134"/>
        <v>2338.1088814170262</v>
      </c>
      <c r="AA75">
        <f t="shared" si="134"/>
        <v>2347.9809430639834</v>
      </c>
      <c r="AB75">
        <f t="shared" si="134"/>
        <v>2359.6993548950231</v>
      </c>
      <c r="AC75">
        <f t="shared" si="134"/>
        <v>2386.6357181341905</v>
      </c>
      <c r="AD75">
        <f t="shared" si="134"/>
        <v>2444.3546727631742</v>
      </c>
      <c r="AE75">
        <f t="shared" si="134"/>
        <v>2534.7857991597321</v>
      </c>
      <c r="AF75">
        <f t="shared" si="134"/>
        <v>2553.9476793893837</v>
      </c>
      <c r="AG75">
        <f t="shared" si="134"/>
        <v>2472.4577727980422</v>
      </c>
      <c r="AH75">
        <f t="shared" si="134"/>
        <v>2439.3491029459801</v>
      </c>
      <c r="AI75">
        <f t="shared" si="134"/>
        <v>2401.7782060807012</v>
      </c>
      <c r="AJ75">
        <f t="shared" si="134"/>
        <v>2494.6188938115642</v>
      </c>
      <c r="AK75">
        <f t="shared" si="134"/>
        <v>2334.6509248554121</v>
      </c>
      <c r="AL75">
        <f t="shared" si="134"/>
        <v>2349.3260689221224</v>
      </c>
      <c r="AM75">
        <f t="shared" si="134"/>
        <v>2360.4937861203935</v>
      </c>
      <c r="AN75">
        <f t="shared" si="134"/>
        <v>2370.9769907546861</v>
      </c>
      <c r="AO75">
        <f t="shared" si="134"/>
        <v>2390.7372963224248</v>
      </c>
      <c r="AP75">
        <f t="shared" si="134"/>
        <v>2458.2332696436647</v>
      </c>
      <c r="AQ75">
        <f t="shared" si="134"/>
        <v>2535.633376753507</v>
      </c>
      <c r="AR75">
        <f t="shared" si="134"/>
        <v>2544.1172188262744</v>
      </c>
      <c r="AS75">
        <f>(AS73-AS74)*AS72/100+AS74</f>
        <v>2469.024218127518</v>
      </c>
      <c r="AT75">
        <f t="shared" ref="AT75" si="135">(AT73-AT74)*AT72/100+AT74</f>
        <v>2445.9586730441883</v>
      </c>
      <c r="AU75">
        <f t="shared" ref="AU75" si="136">(AU73-AU74)*AU72/100+AU74</f>
        <v>2477.2031290775221</v>
      </c>
      <c r="AV75">
        <f t="shared" ref="AV75" si="137">(AV73-AV74)*AV72/100+AV74</f>
        <v>2604.6607765274093</v>
      </c>
    </row>
    <row r="76" spans="1:48" x14ac:dyDescent="0.35">
      <c r="A76" t="s">
        <v>108</v>
      </c>
      <c r="B76">
        <f>[1]!PropsSI("H","P",B71*1000000,"S",B70*1000,"REFPROP::Water")/1000</f>
        <v>2200.8057625190368</v>
      </c>
      <c r="C76">
        <f>[1]!PropsSI("H","P",C71*1000000,"S",C70*1000,"REFPROP::Water")/1000</f>
        <v>2199.9316990704096</v>
      </c>
      <c r="D76">
        <f>[1]!PropsSI("H","P",D71*1000000,"S",D70*1000,"REFPROP::Water")/1000</f>
        <v>2223.714236727003</v>
      </c>
      <c r="E76">
        <f>[1]!PropsSI("H","P",E71*1000000,"S",E70*1000,"REFPROP::Water")/1000</f>
        <v>2221.4692587115678</v>
      </c>
      <c r="F76">
        <f>[1]!PropsSI("H","P",F71*1000000,"S",F70*1000,"REFPROP::Water")/1000</f>
        <v>2240.4542667519577</v>
      </c>
      <c r="G76">
        <f>[1]!PropsSI("H","P",G71*1000000,"S",G70*1000,"REFPROP::Water")/1000</f>
        <v>2250.8074357464984</v>
      </c>
      <c r="H76">
        <f>[1]!PropsSI("H","P",H71*1000000,"S",H70*1000,"REFPROP::Water")/1000</f>
        <v>2250.9920084697901</v>
      </c>
      <c r="I76" s="4">
        <f>[1]!PropsSI("H","P",I71*1000000,"S",I70*1000,"REFPROP::Water")/1000</f>
        <v>2224.2336207667577</v>
      </c>
      <c r="J76">
        <f>[1]!PropsSI("H","P",J71*1000000,"S",J70*1000,"REFPROP::Water")/1000</f>
        <v>2253.6407625529932</v>
      </c>
      <c r="K76">
        <f>[1]!PropsSI("H","P",K71*1000000,"S",K70*1000,"REFPROP::Water")/1000</f>
        <v>2288.8970202334808</v>
      </c>
      <c r="L76">
        <f>[1]!PropsSI("H","P",L71*1000000,"S",L70*1000,"REFPROP::Water")/1000</f>
        <v>2361.7568655992632</v>
      </c>
      <c r="M76">
        <f>[1]!PropsSI("H","P",M71*1000000,"S",M70*1000,"REFPROP::Water")/1000</f>
        <v>2394.0134592754353</v>
      </c>
      <c r="N76" t="e">
        <f>[1]!PropsSI("H","P",N71*1000000,"S",N70*1000,"REFPROP::Water")/1000</f>
        <v>#VALUE!</v>
      </c>
      <c r="O76" t="e">
        <f>[1]!PropsSI("H","P",O71*1000000,"S",O70*1000,"REFPROP::Water")/1000</f>
        <v>#VALUE!</v>
      </c>
      <c r="P76">
        <f>[1]!PropsSI("H","P",P71*1000000,"S",P70*1000,"REFPROP::Water")/1000</f>
        <v>6292.2584181536558</v>
      </c>
      <c r="Q76">
        <f>[1]!PropsSI("H","P",Q71*1000000,"S",Q70*1000,"REFPROP::Water")/1000</f>
        <v>2445.1172332714168</v>
      </c>
      <c r="R76" s="6">
        <f>[1]!PropsSI("H","P",R71*1000000,"S",R70*1000,"REFPROP::Water")/1000</f>
        <v>2391.3055040300551</v>
      </c>
      <c r="S76">
        <f>[1]!PropsSI("H","P",S71*1000000,"S",S70*1000,"REFPROP::Water")/1000</f>
        <v>2386.1805131048691</v>
      </c>
      <c r="T76">
        <f>[1]!PropsSI("H","P",T71*1000000,"S",T70*1000,"REFPROP::Water")/1000</f>
        <v>2349.8826121667998</v>
      </c>
      <c r="U76">
        <f>[1]!PropsSI("H","P",U71*1000000,"S",U70*1000,"REFPROP::Water")/1000</f>
        <v>2405.126045706696</v>
      </c>
      <c r="V76">
        <f>[1]!PropsSI("H","P",V71*1000000,"S",V70*1000,"REFPROP::Water")/1000</f>
        <v>2425.652338011475</v>
      </c>
      <c r="W76">
        <f>[1]!PropsSI("H","P",W71*1000000,"S",W70*1000,"REFPROP::Water")/1000</f>
        <v>2220.5556382243763</v>
      </c>
      <c r="X76">
        <f>[1]!PropsSI("H","P",X71*1000000,"S",X70*1000,"REFPROP::Water")/1000</f>
        <v>2310.9935661101349</v>
      </c>
      <c r="Y76">
        <f>[1]!PropsSI("H","P",Y71*1000000,"S",Y70*1000,"REFPROP::Water")/1000</f>
        <v>2222.9466803125715</v>
      </c>
      <c r="Z76">
        <f>[1]!PropsSI("H","P",Z71*1000000,"S",Z70*1000,"REFPROP::Water")/1000</f>
        <v>2239.7318601040438</v>
      </c>
      <c r="AA76">
        <f>[1]!PropsSI("H","P",AA71*1000000,"S",AA70*1000,"REFPROP::Water")/1000</f>
        <v>2252.7309472855709</v>
      </c>
      <c r="AB76">
        <f>[1]!PropsSI("H","P",AB71*1000000,"S",AB70*1000,"REFPROP::Water")/1000</f>
        <v>2270.8507354789695</v>
      </c>
      <c r="AC76">
        <f>[1]!PropsSI("H","P",AC71*1000000,"S",AC70*1000,"REFPROP::Water")/1000</f>
        <v>2307.3025181961757</v>
      </c>
      <c r="AD76">
        <f>[1]!PropsSI("H","P",AD71*1000000,"S",AD70*1000,"REFPROP::Water")/1000</f>
        <v>2381.6973892770334</v>
      </c>
      <c r="AE76" t="e">
        <f>[1]!PropsSI("H","P",AE71*1000000,"S",AE70*1000,"REFPROP::Water")/1000</f>
        <v>#VALUE!</v>
      </c>
      <c r="AF76" t="e">
        <f>[1]!PropsSI("H","P",AF71*1000000,"S",AF70*1000,"REFPROP::Water")/1000</f>
        <v>#VALUE!</v>
      </c>
      <c r="AG76">
        <f>[1]!PropsSI("H","P",AG71*1000000,"S",AG70*1000,"REFPROP::Water")/1000</f>
        <v>2444.9448975497971</v>
      </c>
      <c r="AH76">
        <f>[1]!PropsSI("H","P",AH71*1000000,"S",AH70*1000,"REFPROP::Water")/1000</f>
        <v>2414.0093758386733</v>
      </c>
      <c r="AI76">
        <f>[1]!PropsSI("H","P",AI71*1000000,"S",AI70*1000,"REFPROP::Water")/1000</f>
        <v>2344.9343972668489</v>
      </c>
      <c r="AJ76">
        <f>[1]!PropsSI("H","P",AJ71*1000000,"S",AJ70*1000,"REFPROP::Water")/1000</f>
        <v>2475.4249255295904</v>
      </c>
      <c r="AK76">
        <f>[1]!PropsSI("H","P",AK71*1000000,"S",AK70*1000,"REFPROP::Water")/1000</f>
        <v>2230.5132985456926</v>
      </c>
      <c r="AL76">
        <f>[1]!PropsSI("H","P",AL71*1000000,"S",AL70*1000,"REFPROP::Water")/1000</f>
        <v>2249.8795149815483</v>
      </c>
      <c r="AM76">
        <f>[1]!PropsSI("H","P",AM71*1000000,"S",AM70*1000,"REFPROP::Water")/1000</f>
        <v>2265.0849189109481</v>
      </c>
      <c r="AN76">
        <f>[1]!PropsSI("H","P",AN71*1000000,"S",AN70*1000,"REFPROP::Water")/1000</f>
        <v>2279.520197170003</v>
      </c>
      <c r="AO76">
        <f>[1]!PropsSI("H","P",AO71*1000000,"S",AO70*1000,"REFPROP::Water")/1000</f>
        <v>2312.4206205300461</v>
      </c>
      <c r="AP76">
        <f>[1]!PropsSI("H","P",AP71*1000000,"S",AP70*1000,"REFPROP::Water")/1000</f>
        <v>2398.7992049151899</v>
      </c>
      <c r="AQ76" t="e">
        <f>[1]!PropsSI("H","P",AQ71*1000000,"S",AQ70*1000,"REFPROP::Water")/1000</f>
        <v>#VALUE!</v>
      </c>
      <c r="AR76" t="e">
        <f>[1]!PropsSI("H","P",AR71*1000000,"S",AR70*1000,"REFPROP::Water")/1000</f>
        <v>#VALUE!</v>
      </c>
      <c r="AS76">
        <f>[1]!PropsSI("H","P",AS71*1000000,"S",AS70*1000,"REFPROP::Water")/1000</f>
        <v>2440.4540712354678</v>
      </c>
      <c r="AT76">
        <f>[1]!PropsSI("H","P",AT71*1000000,"S",AT70*1000,"REFPROP::Water")/1000</f>
        <v>2419.9160472835047</v>
      </c>
      <c r="AU76">
        <f>[1]!PropsSI("H","P",AU71*1000000,"S",AU70*1000,"REFPROP::Water")/1000</f>
        <v>2444.3143632048095</v>
      </c>
      <c r="AV76">
        <f>[1]!PropsSI("H","P",AV71*1000000,"S",AV70*1000,"REFPROP::Water")/1000</f>
        <v>7904.8762872456555</v>
      </c>
    </row>
    <row r="77" spans="1:48" x14ac:dyDescent="0.35">
      <c r="A77" t="s">
        <v>109</v>
      </c>
      <c r="B77">
        <f>(B69-B75)/(B69-B76)</f>
        <v>0.71841941438276224</v>
      </c>
      <c r="C77">
        <f t="shared" ref="C77:AR77" si="138">(C69-C75)/(C69-C76)</f>
        <v>0.71746257220669918</v>
      </c>
      <c r="D77">
        <f t="shared" si="138"/>
        <v>0.72835487465604976</v>
      </c>
      <c r="E77">
        <f t="shared" si="138"/>
        <v>0.71895959944823806</v>
      </c>
      <c r="F77">
        <f t="shared" si="138"/>
        <v>0.72530650084151382</v>
      </c>
      <c r="G77">
        <f t="shared" si="138"/>
        <v>0.72311342745658536</v>
      </c>
      <c r="H77">
        <f t="shared" si="138"/>
        <v>0.7230019575903518</v>
      </c>
      <c r="I77" s="4">
        <f t="shared" si="138"/>
        <v>0.72627003018629843</v>
      </c>
      <c r="J77">
        <f t="shared" si="138"/>
        <v>0.72261212016811671</v>
      </c>
      <c r="K77">
        <f t="shared" si="138"/>
        <v>0.72846324414072983</v>
      </c>
      <c r="L77">
        <f t="shared" si="138"/>
        <v>0.73580709462460103</v>
      </c>
      <c r="M77">
        <f t="shared" si="138"/>
        <v>0.738221140397603</v>
      </c>
      <c r="N77" t="e">
        <f t="shared" si="138"/>
        <v>#VALUE!</v>
      </c>
      <c r="O77" t="e">
        <f t="shared" si="138"/>
        <v>#VALUE!</v>
      </c>
      <c r="P77">
        <f t="shared" si="138"/>
        <v>-4.3540656790572202E-2</v>
      </c>
      <c r="Q77">
        <f t="shared" si="138"/>
        <v>0.75620899673602426</v>
      </c>
      <c r="R77" s="6">
        <f t="shared" si="138"/>
        <v>0.73858081520018648</v>
      </c>
      <c r="S77">
        <f t="shared" si="138"/>
        <v>0.73567322717685835</v>
      </c>
      <c r="T77">
        <f t="shared" si="138"/>
        <v>0.93614454136456082</v>
      </c>
      <c r="U77">
        <f t="shared" si="138"/>
        <v>0.72422850393976401</v>
      </c>
      <c r="V77">
        <f t="shared" si="138"/>
        <v>0.77274772198282149</v>
      </c>
      <c r="W77">
        <f t="shared" si="138"/>
        <v>0.70528750498266413</v>
      </c>
      <c r="X77">
        <f t="shared" si="138"/>
        <v>0.71567782279570147</v>
      </c>
      <c r="Y77">
        <f t="shared" si="138"/>
        <v>0.71816913659930137</v>
      </c>
      <c r="Z77">
        <f t="shared" si="138"/>
        <v>0.716288744496133</v>
      </c>
      <c r="AA77">
        <f t="shared" si="138"/>
        <v>0.71605259825143641</v>
      </c>
      <c r="AB77">
        <f t="shared" si="138"/>
        <v>0.72229729085311922</v>
      </c>
      <c r="AC77">
        <f t="shared" si="138"/>
        <v>0.72678745361496944</v>
      </c>
      <c r="AD77">
        <f t="shared" si="138"/>
        <v>0.72613217584983591</v>
      </c>
      <c r="AE77" t="e">
        <f t="shared" si="138"/>
        <v>#VALUE!</v>
      </c>
      <c r="AF77" t="e">
        <f t="shared" si="138"/>
        <v>#VALUE!</v>
      </c>
      <c r="AG77">
        <f t="shared" si="138"/>
        <v>0.7635588364072492</v>
      </c>
      <c r="AH77">
        <f t="shared" si="138"/>
        <v>0.7495360265104426</v>
      </c>
      <c r="AI77">
        <f t="shared" si="138"/>
        <v>0.73097265668106659</v>
      </c>
      <c r="AJ77">
        <f t="shared" si="138"/>
        <v>0.81707829547446864</v>
      </c>
      <c r="AK77">
        <f t="shared" si="138"/>
        <v>0.712857377347905</v>
      </c>
      <c r="AL77">
        <f t="shared" si="138"/>
        <v>0.7117600604309724</v>
      </c>
      <c r="AM77">
        <f t="shared" si="138"/>
        <v>0.71299110675182464</v>
      </c>
      <c r="AN77">
        <f t="shared" si="138"/>
        <v>0.71367701457667065</v>
      </c>
      <c r="AO77">
        <f t="shared" si="138"/>
        <v>0.72497144368817801</v>
      </c>
      <c r="AP77">
        <f t="shared" si="138"/>
        <v>0.72923320415182524</v>
      </c>
      <c r="AQ77" t="e">
        <f t="shared" si="138"/>
        <v>#VALUE!</v>
      </c>
      <c r="AR77" t="e">
        <f t="shared" si="138"/>
        <v>#VALUE!</v>
      </c>
      <c r="AS77">
        <f>(AS69-AS75)/(AS69-AS76)</f>
        <v>0.75366686320020027</v>
      </c>
      <c r="AT77">
        <f t="shared" ref="AT77" si="139">(AT69-AT75)/(AT69-AT76)</f>
        <v>0.7436384647784724</v>
      </c>
      <c r="AU77">
        <f t="shared" ref="AU77" si="140">(AU69-AU75)/(AU69-AU76)</f>
        <v>0.74375049757793688</v>
      </c>
      <c r="AV77">
        <f t="shared" ref="AV77" si="141">(AV69-AV75)/(AV69-AV76)</f>
        <v>-1.1274915720650532E-2</v>
      </c>
    </row>
    <row r="78" spans="1:48" x14ac:dyDescent="0.35">
      <c r="A78" t="s">
        <v>112</v>
      </c>
      <c r="B78">
        <f>(B66+B72)/2</f>
        <v>93.67</v>
      </c>
      <c r="C78">
        <f t="shared" ref="C78:AR78" si="142">(C66+C72)/2</f>
        <v>93.694999999999993</v>
      </c>
      <c r="D78">
        <f t="shared" si="142"/>
        <v>93.800000000000011</v>
      </c>
      <c r="E78">
        <f t="shared" si="142"/>
        <v>93.835000000000008</v>
      </c>
      <c r="F78">
        <f t="shared" si="142"/>
        <v>93.965000000000003</v>
      </c>
      <c r="G78">
        <f t="shared" si="142"/>
        <v>94.144999999999996</v>
      </c>
      <c r="H78">
        <f t="shared" si="142"/>
        <v>94.155000000000001</v>
      </c>
      <c r="I78" s="4">
        <f t="shared" si="142"/>
        <v>94.164999999999992</v>
      </c>
      <c r="J78">
        <f t="shared" si="142"/>
        <v>94.449999999999989</v>
      </c>
      <c r="K78">
        <f t="shared" si="142"/>
        <v>94.71</v>
      </c>
      <c r="L78">
        <f t="shared" si="142"/>
        <v>95.835000000000008</v>
      </c>
      <c r="M78">
        <f t="shared" si="142"/>
        <v>96.14</v>
      </c>
      <c r="N78">
        <f t="shared" si="142"/>
        <v>101.94999999999999</v>
      </c>
      <c r="O78">
        <f t="shared" si="142"/>
        <v>102</v>
      </c>
      <c r="P78">
        <f t="shared" si="142"/>
        <v>100.88499999999999</v>
      </c>
      <c r="Q78">
        <f t="shared" si="142"/>
        <v>98.415000000000006</v>
      </c>
      <c r="R78" s="6">
        <f t="shared" si="142"/>
        <v>96.13</v>
      </c>
      <c r="S78">
        <f t="shared" si="142"/>
        <v>95.915000000000006</v>
      </c>
      <c r="T78">
        <f t="shared" si="142"/>
        <v>93.655000000000001</v>
      </c>
      <c r="U78">
        <f t="shared" si="142"/>
        <v>94.56</v>
      </c>
      <c r="V78">
        <f t="shared" si="142"/>
        <v>94.55</v>
      </c>
      <c r="W78">
        <f t="shared" si="142"/>
        <v>91.87</v>
      </c>
      <c r="X78">
        <f t="shared" si="142"/>
        <v>93.394999999999996</v>
      </c>
      <c r="Y78">
        <f t="shared" si="142"/>
        <v>93.25</v>
      </c>
      <c r="Z78">
        <f t="shared" si="142"/>
        <v>93.4</v>
      </c>
      <c r="AA78">
        <f t="shared" si="142"/>
        <v>93.5</v>
      </c>
      <c r="AB78">
        <f t="shared" si="142"/>
        <v>93.715000000000003</v>
      </c>
      <c r="AC78">
        <f t="shared" si="142"/>
        <v>94.3</v>
      </c>
      <c r="AD78">
        <f t="shared" si="142"/>
        <v>95.465000000000003</v>
      </c>
      <c r="AE78">
        <f t="shared" si="142"/>
        <v>102.25</v>
      </c>
      <c r="AF78">
        <f t="shared" si="142"/>
        <v>102.65</v>
      </c>
      <c r="AG78">
        <f t="shared" si="142"/>
        <v>98.59</v>
      </c>
      <c r="AH78">
        <f t="shared" si="142"/>
        <v>96.875</v>
      </c>
      <c r="AI78">
        <f t="shared" si="142"/>
        <v>95.490000000000009</v>
      </c>
      <c r="AJ78">
        <f t="shared" si="142"/>
        <v>97.415000000000006</v>
      </c>
      <c r="AK78">
        <f t="shared" si="142"/>
        <v>93.990000000000009</v>
      </c>
      <c r="AL78">
        <f t="shared" si="142"/>
        <v>94.18</v>
      </c>
      <c r="AM78">
        <f t="shared" si="142"/>
        <v>94.32</v>
      </c>
      <c r="AN78">
        <f t="shared" si="142"/>
        <v>94.495000000000005</v>
      </c>
      <c r="AO78">
        <f t="shared" si="142"/>
        <v>94.72</v>
      </c>
      <c r="AP78">
        <f t="shared" si="142"/>
        <v>96.25</v>
      </c>
      <c r="AQ78">
        <f t="shared" si="142"/>
        <v>102.3</v>
      </c>
      <c r="AR78">
        <f t="shared" si="142"/>
        <v>102.1</v>
      </c>
      <c r="AS78">
        <f>(AS66+AS72)/2</f>
        <v>98.42</v>
      </c>
      <c r="AT78">
        <f t="shared" ref="AT78:AV78" si="143">(AT66+AT72)/2</f>
        <v>97.14</v>
      </c>
      <c r="AU78">
        <f t="shared" si="143"/>
        <v>98.224999999999994</v>
      </c>
      <c r="AV78">
        <f t="shared" si="143"/>
        <v>101.4</v>
      </c>
    </row>
    <row r="79" spans="1:48" x14ac:dyDescent="0.35">
      <c r="B79">
        <f>MAX(100-B72,0)-MAX(100-B66,0)</f>
        <v>7.8799999999999955</v>
      </c>
      <c r="I79" s="4"/>
    </row>
    <row r="80" spans="1:48" x14ac:dyDescent="0.35">
      <c r="A80" t="s">
        <v>115</v>
      </c>
      <c r="B80">
        <v>0.15</v>
      </c>
      <c r="C80">
        <f>B80</f>
        <v>0.15</v>
      </c>
      <c r="D80">
        <f t="shared" ref="D80:AV80" si="144">C80</f>
        <v>0.15</v>
      </c>
      <c r="E80">
        <f t="shared" si="144"/>
        <v>0.15</v>
      </c>
      <c r="F80">
        <f t="shared" si="144"/>
        <v>0.15</v>
      </c>
      <c r="G80">
        <f t="shared" si="144"/>
        <v>0.15</v>
      </c>
      <c r="H80">
        <f t="shared" si="144"/>
        <v>0.15</v>
      </c>
      <c r="I80">
        <f t="shared" si="144"/>
        <v>0.15</v>
      </c>
      <c r="J80">
        <f t="shared" si="144"/>
        <v>0.15</v>
      </c>
      <c r="K80">
        <f t="shared" si="144"/>
        <v>0.15</v>
      </c>
      <c r="L80">
        <f t="shared" si="144"/>
        <v>0.15</v>
      </c>
      <c r="M80">
        <f t="shared" si="144"/>
        <v>0.15</v>
      </c>
      <c r="N80">
        <f t="shared" si="144"/>
        <v>0.15</v>
      </c>
      <c r="O80">
        <f t="shared" si="144"/>
        <v>0.15</v>
      </c>
      <c r="P80">
        <f t="shared" si="144"/>
        <v>0.15</v>
      </c>
      <c r="Q80">
        <f t="shared" si="144"/>
        <v>0.15</v>
      </c>
      <c r="R80" s="6">
        <f t="shared" si="144"/>
        <v>0.15</v>
      </c>
      <c r="S80">
        <f t="shared" si="144"/>
        <v>0.15</v>
      </c>
      <c r="T80">
        <f t="shared" si="144"/>
        <v>0.15</v>
      </c>
      <c r="U80">
        <f t="shared" si="144"/>
        <v>0.15</v>
      </c>
      <c r="V80">
        <f t="shared" si="144"/>
        <v>0.15</v>
      </c>
      <c r="W80">
        <f t="shared" si="144"/>
        <v>0.15</v>
      </c>
      <c r="X80">
        <f t="shared" si="144"/>
        <v>0.15</v>
      </c>
      <c r="Y80">
        <f t="shared" si="144"/>
        <v>0.15</v>
      </c>
      <c r="Z80">
        <f t="shared" si="144"/>
        <v>0.15</v>
      </c>
      <c r="AA80">
        <f t="shared" si="144"/>
        <v>0.15</v>
      </c>
      <c r="AB80">
        <f t="shared" si="144"/>
        <v>0.15</v>
      </c>
      <c r="AC80">
        <f t="shared" si="144"/>
        <v>0.15</v>
      </c>
      <c r="AD80">
        <f t="shared" si="144"/>
        <v>0.15</v>
      </c>
      <c r="AE80">
        <f t="shared" si="144"/>
        <v>0.15</v>
      </c>
      <c r="AF80">
        <f t="shared" si="144"/>
        <v>0.15</v>
      </c>
      <c r="AG80">
        <f t="shared" si="144"/>
        <v>0.15</v>
      </c>
      <c r="AH80">
        <f t="shared" si="144"/>
        <v>0.15</v>
      </c>
      <c r="AI80">
        <f t="shared" si="144"/>
        <v>0.15</v>
      </c>
      <c r="AJ80">
        <f t="shared" si="144"/>
        <v>0.15</v>
      </c>
      <c r="AK80">
        <f t="shared" si="144"/>
        <v>0.15</v>
      </c>
      <c r="AL80">
        <f t="shared" si="144"/>
        <v>0.15</v>
      </c>
      <c r="AM80">
        <f t="shared" si="144"/>
        <v>0.15</v>
      </c>
      <c r="AN80">
        <f t="shared" si="144"/>
        <v>0.15</v>
      </c>
      <c r="AO80">
        <f t="shared" si="144"/>
        <v>0.15</v>
      </c>
      <c r="AP80">
        <f t="shared" si="144"/>
        <v>0.15</v>
      </c>
      <c r="AQ80">
        <f t="shared" si="144"/>
        <v>0.15</v>
      </c>
      <c r="AR80">
        <f t="shared" si="144"/>
        <v>0.15</v>
      </c>
      <c r="AS80">
        <f t="shared" si="144"/>
        <v>0.15</v>
      </c>
      <c r="AT80">
        <f t="shared" si="144"/>
        <v>0.15</v>
      </c>
      <c r="AU80">
        <f t="shared" si="144"/>
        <v>0.15</v>
      </c>
      <c r="AV80">
        <f t="shared" si="144"/>
        <v>0.15</v>
      </c>
    </row>
    <row r="81" spans="1:48" x14ac:dyDescent="0.35">
      <c r="A81" t="s">
        <v>114</v>
      </c>
      <c r="B81" s="5">
        <f>1-0.4*(1-B80)*(MAX(100-B66,0)-MAX(100-B72,0))*B84/B82/100</f>
        <v>1.0267919999999999</v>
      </c>
      <c r="C81" s="5">
        <f t="shared" ref="C81:I81" si="145">1-0.4*(1-C80)*(MAX(100-C66,0)-MAX(100-C72,0))*C84/C82/100</f>
        <v>1.026826</v>
      </c>
      <c r="D81" s="5">
        <f t="shared" si="145"/>
        <v>1.0261119999999999</v>
      </c>
      <c r="E81" s="5">
        <f t="shared" si="145"/>
        <v>1.025738</v>
      </c>
      <c r="F81" s="5">
        <f t="shared" si="145"/>
        <v>1.025126</v>
      </c>
      <c r="G81" s="5">
        <f t="shared" si="145"/>
        <v>1.0245139999999999</v>
      </c>
      <c r="H81" s="5">
        <f t="shared" si="145"/>
        <v>1.0245139999999999</v>
      </c>
      <c r="I81" s="5">
        <f t="shared" si="145"/>
        <v>1.026826</v>
      </c>
      <c r="J81" s="5">
        <f t="shared" ref="J81" si="146">1-0.4*(1-J80)*(MAX(100-J66,0)-MAX(100-J72,0))*J84/J82/100</f>
        <v>1.0248200000000001</v>
      </c>
      <c r="K81" s="5">
        <f t="shared" ref="K81" si="147">1-0.4*(1-K80)*(MAX(100-K66,0)-MAX(100-K72,0))*K84/K82/100</f>
        <v>1.0230520000000001</v>
      </c>
      <c r="L81" s="5">
        <f t="shared" ref="L81" si="148">1-0.4*(1-L80)*(MAX(100-L66,0)-MAX(100-L72,0))*L84/L82/100</f>
        <v>1.0199579999999999</v>
      </c>
      <c r="M81" s="5">
        <f t="shared" ref="M81" si="149">1-0.4*(1-M80)*(MAX(100-M66,0)-MAX(100-M72,0))*M84/M82/100</f>
        <v>1.0180879999999999</v>
      </c>
      <c r="N81" s="5" t="e">
        <f t="shared" ref="N81" si="150">1-0.4*(1-N80)*(MAX(100-N66,0)-MAX(100-N72,0))*N84/N82/100</f>
        <v>#VALUE!</v>
      </c>
      <c r="O81" s="5" t="e">
        <f t="shared" ref="O81:P81" si="151">1-0.4*(1-O80)*(MAX(100-O66,0)-MAX(100-O72,0))*O84/O82/100</f>
        <v>#VALUE!</v>
      </c>
      <c r="P81" s="5" t="e">
        <f t="shared" si="151"/>
        <v>#VALUE!</v>
      </c>
      <c r="Q81" s="5">
        <f t="shared" ref="Q81" si="152">1-0.4*(1-Q80)*(MAX(100-Q66,0)-MAX(100-Q72,0))*Q84/Q82/100</f>
        <v>1.00935</v>
      </c>
      <c r="R81" s="7">
        <f t="shared" ref="R81" si="153">1-0.4*(1-R80)*(MAX(100-R66,0)-MAX(100-R72,0))*R84/R82/100</f>
        <v>1.0085</v>
      </c>
      <c r="S81" s="5">
        <f t="shared" ref="S81" si="154">1-0.4*(1-S80)*(MAX(100-S66,0)-MAX(100-S72,0))*S84/S82/100</f>
        <v>1.0083979999999999</v>
      </c>
      <c r="T81" s="5">
        <f t="shared" ref="T81" si="155">1-0.4*(1-T80)*(MAX(100-T66,0)-MAX(100-T72,0))*T84/T82/100</f>
        <v>1.010778</v>
      </c>
      <c r="U81" s="5">
        <f t="shared" ref="U81" si="156">1-0.4*(1-U80)*(MAX(100-U66,0)-MAX(100-U72,0))*U84/U82/100</f>
        <v>1.0040800000000001</v>
      </c>
      <c r="V81" s="5">
        <f t="shared" ref="V81:W81" si="157">1-0.4*(1-V80)*(MAX(100-V66,0)-MAX(100-V72,0))*V84/V82/100</f>
        <v>1.0030600000000001</v>
      </c>
      <c r="W81" s="5">
        <f t="shared" si="157"/>
        <v>1.0174080000000001</v>
      </c>
      <c r="X81" s="5">
        <f t="shared" ref="X81" si="158">1-0.4*(1-X80)*(MAX(100-X66,0)-MAX(100-X72,0))*X84/X82/100</f>
        <v>1.013906</v>
      </c>
      <c r="Y81" s="5">
        <f t="shared" ref="Y81" si="159">1-0.4*(1-Y80)*(MAX(100-Y66,0)-MAX(100-Y72,0))*Y84/Y82/100</f>
        <v>1.0221</v>
      </c>
      <c r="Z81" s="5">
        <f t="shared" ref="Z81" si="160">1-0.4*(1-Z80)*(MAX(100-Z66,0)-MAX(100-Z72,0))*Z84/Z82/100</f>
        <v>1.02108</v>
      </c>
      <c r="AA81" s="5">
        <f t="shared" ref="AA81" si="161">1-0.4*(1-AA80)*(MAX(100-AA66,0)-MAX(100-AA72,0))*AA84/AA82/100</f>
        <v>1.0204</v>
      </c>
      <c r="AB81" s="5">
        <f t="shared" ref="AB81" si="162">1-0.4*(1-AB80)*(MAX(100-AB66,0)-MAX(100-AB72,0))*AB84/AB82/100</f>
        <v>1.019822</v>
      </c>
      <c r="AC81" s="5">
        <f t="shared" ref="AC81:AD81" si="163">1-0.4*(1-AC80)*(MAX(100-AC66,0)-MAX(100-AC72,0))*AC84/AC82/100</f>
        <v>1.0183599999999999</v>
      </c>
      <c r="AD81" s="5">
        <f t="shared" si="163"/>
        <v>1.0147219999999999</v>
      </c>
      <c r="AE81" s="5" t="e">
        <f t="shared" ref="AE81" si="164">1-0.4*(1-AE80)*(MAX(100-AE66,0)-MAX(100-AE72,0))*AE84/AE82/100</f>
        <v>#VALUE!</v>
      </c>
      <c r="AF81" s="5" t="e">
        <f t="shared" ref="AF81" si="165">1-0.4*(1-AF80)*(MAX(100-AF66,0)-MAX(100-AF72,0))*AF84/AF82/100</f>
        <v>#VALUE!</v>
      </c>
      <c r="AG81" s="5">
        <f t="shared" ref="AG81" si="166">1-0.4*(1-AG80)*(MAX(100-AG66,0)-MAX(100-AG72,0))*AG84/AG82/100</f>
        <v>1.0086360000000001</v>
      </c>
      <c r="AH81" s="5">
        <f t="shared" ref="AH81" si="167">1-0.4*(1-AH80)*(MAX(100-AH66,0)-MAX(100-AH72,0))*AH84/AH82/100</f>
        <v>1.007174</v>
      </c>
      <c r="AI81" s="5">
        <f t="shared" ref="AI81" si="168">1-0.4*(1-AI80)*(MAX(100-AI66,0)-MAX(100-AI72,0))*AI84/AI82/100</f>
        <v>1.0139400000000001</v>
      </c>
      <c r="AJ81" s="5">
        <f t="shared" ref="AJ81:AK81" si="169">1-0.4*(1-AJ80)*(MAX(100-AJ66,0)-MAX(100-AJ72,0))*AJ84/AJ82/100</f>
        <v>1.0083979999999999</v>
      </c>
      <c r="AK81" s="5">
        <f t="shared" si="169"/>
        <v>1.022168</v>
      </c>
      <c r="AL81" s="5">
        <f t="shared" ref="AL81" si="170">1-0.4*(1-AL80)*(MAX(100-AL66,0)-MAX(100-AL72,0))*AL84/AL82/100</f>
        <v>1.02108</v>
      </c>
      <c r="AM81" s="5">
        <f t="shared" ref="AM81" si="171">1-0.4*(1-AM80)*(MAX(100-AM66,0)-MAX(100-AM72,0))*AM84/AM82/100</f>
        <v>1.0204</v>
      </c>
      <c r="AN81" s="5">
        <f t="shared" ref="AN81" si="172">1-0.4*(1-AN80)*(MAX(100-AN66,0)-MAX(100-AN72,0))*AN84/AN82/100</f>
        <v>1.0196860000000001</v>
      </c>
      <c r="AO81" s="5">
        <f t="shared" ref="AO81" si="173">1-0.4*(1-AO80)*(MAX(100-AO66,0)-MAX(100-AO72,0))*AO84/AO82/100</f>
        <v>1.0180879999999999</v>
      </c>
      <c r="AP81" s="5">
        <f t="shared" ref="AP81" si="174">1-0.4*(1-AP80)*(MAX(100-AP66,0)-MAX(100-AP72,0))*AP84/AP82/100</f>
        <v>1.014416</v>
      </c>
      <c r="AQ81" s="5" t="e">
        <f t="shared" ref="AQ81:AR81" si="175">1-0.4*(1-AQ80)*(MAX(100-AQ66,0)-MAX(100-AQ72,0))*AQ84/AQ82/100</f>
        <v>#VALUE!</v>
      </c>
      <c r="AR81" s="5" t="e">
        <f t="shared" si="175"/>
        <v>#VALUE!</v>
      </c>
      <c r="AS81" s="5">
        <f t="shared" ref="AS81" si="176">1-0.4*(1-AS80)*(MAX(100-AS66,0)-MAX(100-AS72,0))*AS84/AS82/100</f>
        <v>1.008432</v>
      </c>
      <c r="AT81" s="5">
        <f t="shared" ref="AT81" si="177">1-0.4*(1-AT80)*(MAX(100-AT66,0)-MAX(100-AT72,0))*AT84/AT82/100</f>
        <v>1.0071399999999999</v>
      </c>
      <c r="AU81" s="5">
        <f t="shared" ref="AU81" si="178">1-0.4*(1-AU80)*(MAX(100-AU66,0)-MAX(100-AU72,0))*AU84/AU82/100</f>
        <v>1.0090779999999999</v>
      </c>
      <c r="AV81" s="5" t="e">
        <f t="shared" ref="AV81" si="179">1-0.4*(1-AV80)*(MAX(100-AV66,0)-MAX(100-AV72,0))*AV84/AV82/100</f>
        <v>#VALUE!</v>
      </c>
    </row>
    <row r="82" spans="1:48" x14ac:dyDescent="0.35">
      <c r="A82" t="s">
        <v>116</v>
      </c>
      <c r="B82">
        <f>B69-B76</f>
        <v>438.8633994694469</v>
      </c>
      <c r="C82">
        <f t="shared" ref="C82:AR82" si="180">C69-C76</f>
        <v>440.24776780086722</v>
      </c>
      <c r="D82">
        <f t="shared" si="180"/>
        <v>416.62284085555348</v>
      </c>
      <c r="E82">
        <f t="shared" si="180"/>
        <v>419.99578283851679</v>
      </c>
      <c r="F82">
        <f t="shared" si="180"/>
        <v>402.84052960763529</v>
      </c>
      <c r="G82">
        <f t="shared" si="180"/>
        <v>393.86155291578598</v>
      </c>
      <c r="H82">
        <f t="shared" si="180"/>
        <v>393.89929150673697</v>
      </c>
      <c r="I82" s="4">
        <f t="shared" si="180"/>
        <v>427.50414887703801</v>
      </c>
      <c r="J82">
        <f t="shared" si="180"/>
        <v>397.09398406603577</v>
      </c>
      <c r="K82">
        <f t="shared" si="180"/>
        <v>361.99396075090544</v>
      </c>
      <c r="L82">
        <f t="shared" si="180"/>
        <v>302.0350488271597</v>
      </c>
      <c r="M82">
        <f t="shared" si="180"/>
        <v>270.60234380643669</v>
      </c>
      <c r="N82" t="e">
        <f t="shared" si="180"/>
        <v>#VALUE!</v>
      </c>
      <c r="O82" t="e">
        <f t="shared" si="180"/>
        <v>#VALUE!</v>
      </c>
      <c r="P82">
        <f t="shared" si="180"/>
        <v>-3602.6082437261839</v>
      </c>
      <c r="Q82">
        <f t="shared" si="180"/>
        <v>128.53203658592474</v>
      </c>
      <c r="R82" s="6">
        <f t="shared" si="180"/>
        <v>124.1949436564978</v>
      </c>
      <c r="S82">
        <f t="shared" si="180"/>
        <v>123.76414833334411</v>
      </c>
      <c r="T82">
        <f t="shared" si="180"/>
        <v>114.26932088990043</v>
      </c>
      <c r="U82">
        <f t="shared" si="180"/>
        <v>62.945295059089858</v>
      </c>
      <c r="V82">
        <f t="shared" si="180"/>
        <v>42.759282979513046</v>
      </c>
      <c r="W82">
        <f t="shared" si="180"/>
        <v>300.33595264858332</v>
      </c>
      <c r="X82">
        <f t="shared" si="180"/>
        <v>227.81372020284243</v>
      </c>
      <c r="Y82">
        <f t="shared" si="180"/>
        <v>362.51455913397058</v>
      </c>
      <c r="Z82">
        <f t="shared" si="180"/>
        <v>346.75050567967855</v>
      </c>
      <c r="AA82">
        <f t="shared" si="180"/>
        <v>335.4494360288486</v>
      </c>
      <c r="AB82">
        <f t="shared" si="180"/>
        <v>319.94149314928154</v>
      </c>
      <c r="AC82">
        <f t="shared" si="180"/>
        <v>290.37173068257562</v>
      </c>
      <c r="AD82">
        <f t="shared" si="180"/>
        <v>228.78658228863469</v>
      </c>
      <c r="AE82" t="e">
        <f t="shared" si="180"/>
        <v>#VALUE!</v>
      </c>
      <c r="AF82" t="e">
        <f t="shared" si="180"/>
        <v>#VALUE!</v>
      </c>
      <c r="AG82">
        <f t="shared" si="180"/>
        <v>116.36245918512577</v>
      </c>
      <c r="AH82">
        <f t="shared" si="180"/>
        <v>101.17114551152508</v>
      </c>
      <c r="AI82">
        <f t="shared" si="180"/>
        <v>211.29379680363445</v>
      </c>
      <c r="AJ82">
        <f t="shared" si="180"/>
        <v>104.929966248455</v>
      </c>
      <c r="AK82">
        <f t="shared" si="180"/>
        <v>362.66864650008347</v>
      </c>
      <c r="AL82">
        <f t="shared" si="180"/>
        <v>345.01309599656906</v>
      </c>
      <c r="AM82">
        <f t="shared" si="180"/>
        <v>332.42477656239635</v>
      </c>
      <c r="AN82">
        <f t="shared" si="180"/>
        <v>319.41827321150595</v>
      </c>
      <c r="AO82">
        <f t="shared" si="180"/>
        <v>284.75834234313015</v>
      </c>
      <c r="AP82">
        <f t="shared" si="180"/>
        <v>219.5027811379091</v>
      </c>
      <c r="AQ82" t="e">
        <f t="shared" si="180"/>
        <v>#VALUE!</v>
      </c>
      <c r="AR82" t="e">
        <f t="shared" si="180"/>
        <v>#VALUE!</v>
      </c>
      <c r="AS82">
        <f>AS69-AS76</f>
        <v>115.98174432889937</v>
      </c>
      <c r="AT82">
        <f t="shared" ref="AT82:AV82" si="181">AT69-AT76</f>
        <v>101.58554300347623</v>
      </c>
      <c r="AU82">
        <f t="shared" si="181"/>
        <v>128.34665262507406</v>
      </c>
      <c r="AV82">
        <f t="shared" si="181"/>
        <v>-5241.1222985208024</v>
      </c>
    </row>
    <row r="83" spans="1:48" x14ac:dyDescent="0.35">
      <c r="A83" t="s">
        <v>113</v>
      </c>
      <c r="B83">
        <f>0.87*(1+(B82-400)/10000)*B81-B85/B82</f>
        <v>0.80563620868527197</v>
      </c>
      <c r="C83">
        <f t="shared" ref="C83:AR83" si="182">0.87*(1+(C82-400)/10000)*C81-C85/C82</f>
        <v>0.80607618050957197</v>
      </c>
      <c r="D83">
        <f t="shared" si="182"/>
        <v>0.7981912914643462</v>
      </c>
      <c r="E83">
        <f t="shared" si="182"/>
        <v>0.79893741626371539</v>
      </c>
      <c r="F83">
        <f t="shared" si="182"/>
        <v>0.79281808044588653</v>
      </c>
      <c r="G83">
        <f t="shared" si="182"/>
        <v>0.78922151438435162</v>
      </c>
      <c r="H83">
        <f t="shared" si="182"/>
        <v>0.78923460821812452</v>
      </c>
      <c r="I83" s="4">
        <f t="shared" si="182"/>
        <v>0.80222932843729344</v>
      </c>
      <c r="J83">
        <f t="shared" si="182"/>
        <v>0.79060248084734275</v>
      </c>
      <c r="K83">
        <f t="shared" si="182"/>
        <v>0.77617341153529573</v>
      </c>
      <c r="L83">
        <f t="shared" si="182"/>
        <v>0.74623544690568877</v>
      </c>
      <c r="M83">
        <f t="shared" si="182"/>
        <v>0.72645695682969702</v>
      </c>
      <c r="N83" t="e">
        <f t="shared" si="182"/>
        <v>#VALUE!</v>
      </c>
      <c r="O83" t="e">
        <f t="shared" si="182"/>
        <v>#VALUE!</v>
      </c>
      <c r="P83" t="e">
        <f t="shared" si="182"/>
        <v>#VALUE!</v>
      </c>
      <c r="Q83">
        <f t="shared" si="182"/>
        <v>0.54308950236557263</v>
      </c>
      <c r="R83" s="6">
        <f t="shared" si="182"/>
        <v>0.53112169856883107</v>
      </c>
      <c r="S83">
        <f t="shared" si="182"/>
        <v>0.52987654349338076</v>
      </c>
      <c r="T83">
        <f t="shared" si="182"/>
        <v>0.50420015328265211</v>
      </c>
      <c r="U83">
        <f t="shared" si="182"/>
        <v>0.20863376350868412</v>
      </c>
      <c r="V83">
        <f t="shared" si="182"/>
        <v>-9.3982228452349159E-2</v>
      </c>
      <c r="W83">
        <f t="shared" si="182"/>
        <v>0.74313905901513455</v>
      </c>
      <c r="X83">
        <f t="shared" si="182"/>
        <v>0.69132764895803456</v>
      </c>
      <c r="Y83">
        <f t="shared" si="182"/>
        <v>0.77555329741676382</v>
      </c>
      <c r="Z83">
        <f t="shared" si="182"/>
        <v>0.76825251941684236</v>
      </c>
      <c r="AA83">
        <f t="shared" si="182"/>
        <v>0.7627745279496122</v>
      </c>
      <c r="AB83">
        <f t="shared" si="182"/>
        <v>0.75511912947024851</v>
      </c>
      <c r="AC83">
        <f t="shared" si="182"/>
        <v>0.73850597244642879</v>
      </c>
      <c r="AD83">
        <f t="shared" si="182"/>
        <v>0.69285785227009589</v>
      </c>
      <c r="AE83" t="e">
        <f t="shared" si="182"/>
        <v>#VALUE!</v>
      </c>
      <c r="AF83" t="e">
        <f t="shared" si="182"/>
        <v>#VALUE!</v>
      </c>
      <c r="AG83">
        <f t="shared" si="182"/>
        <v>0.50887027044823296</v>
      </c>
      <c r="AH83">
        <f t="shared" si="182"/>
        <v>0.45468711308056675</v>
      </c>
      <c r="AI83">
        <f t="shared" si="182"/>
        <v>0.67617163691435522</v>
      </c>
      <c r="AJ83">
        <f t="shared" si="182"/>
        <v>0.47021293997560648</v>
      </c>
      <c r="AK83">
        <f t="shared" si="182"/>
        <v>0.77567281885606176</v>
      </c>
      <c r="AL83">
        <f t="shared" si="182"/>
        <v>0.7675172675077262</v>
      </c>
      <c r="AM83">
        <f t="shared" si="182"/>
        <v>0.76142104866678251</v>
      </c>
      <c r="AN83">
        <f t="shared" si="182"/>
        <v>0.75475054802398689</v>
      </c>
      <c r="AO83">
        <f t="shared" si="182"/>
        <v>0.73505920033021721</v>
      </c>
      <c r="AP83">
        <f t="shared" si="182"/>
        <v>0.68438224646472356</v>
      </c>
      <c r="AQ83" t="e">
        <f t="shared" si="182"/>
        <v>#VALUE!</v>
      </c>
      <c r="AR83" t="e">
        <f t="shared" si="182"/>
        <v>#VALUE!</v>
      </c>
      <c r="AS83">
        <f>0.87*(1+(AS82-400)/10000)*AS81-AS85/AS82</f>
        <v>0.50753603800983615</v>
      </c>
      <c r="AT83">
        <f t="shared" ref="AT83" si="183">0.87*(1+(AT82-400)/10000)*AT81-AT85/AT82</f>
        <v>0.45630755680121671</v>
      </c>
      <c r="AU83">
        <f t="shared" ref="AU83" si="184">0.87*(1+(AU82-400)/10000)*AU81-AU85/AU82</f>
        <v>0.54239350482023796</v>
      </c>
      <c r="AV83" t="e">
        <f t="shared" ref="AV83" si="185">0.87*(1+(AV82-400)/10000)*AV81-AV85/AV82</f>
        <v>#VALUE!</v>
      </c>
    </row>
    <row r="84" spans="1:48" x14ac:dyDescent="0.35">
      <c r="A84" t="s">
        <v>117</v>
      </c>
      <c r="B84">
        <f>B69-B86</f>
        <v>438.8633994694469</v>
      </c>
      <c r="C84">
        <f t="shared" ref="C84:AR84" si="186">C69-C86</f>
        <v>440.24776780086722</v>
      </c>
      <c r="D84">
        <f t="shared" si="186"/>
        <v>416.62284085555348</v>
      </c>
      <c r="E84">
        <f t="shared" si="186"/>
        <v>419.99578283851679</v>
      </c>
      <c r="F84">
        <f t="shared" si="186"/>
        <v>402.84052960763529</v>
      </c>
      <c r="G84">
        <f t="shared" si="186"/>
        <v>393.86155291578598</v>
      </c>
      <c r="H84">
        <f t="shared" si="186"/>
        <v>393.89929150673697</v>
      </c>
      <c r="I84" s="4">
        <f t="shared" si="186"/>
        <v>427.50414887703801</v>
      </c>
      <c r="J84">
        <f t="shared" si="186"/>
        <v>397.09398406603577</v>
      </c>
      <c r="K84">
        <f t="shared" si="186"/>
        <v>361.99396075090544</v>
      </c>
      <c r="L84">
        <f t="shared" si="186"/>
        <v>302.0350488271597</v>
      </c>
      <c r="M84">
        <f t="shared" si="186"/>
        <v>270.60234380643669</v>
      </c>
      <c r="N84" t="e">
        <f t="shared" si="186"/>
        <v>#VALUE!</v>
      </c>
      <c r="O84" t="e">
        <f t="shared" si="186"/>
        <v>#VALUE!</v>
      </c>
      <c r="P84" t="e">
        <f t="shared" si="186"/>
        <v>#VALUE!</v>
      </c>
      <c r="Q84">
        <f t="shared" si="186"/>
        <v>128.53203658592474</v>
      </c>
      <c r="R84" s="6">
        <f t="shared" si="186"/>
        <v>124.1949436564978</v>
      </c>
      <c r="S84">
        <f t="shared" si="186"/>
        <v>123.76414833334411</v>
      </c>
      <c r="T84">
        <f t="shared" si="186"/>
        <v>114.26932088990043</v>
      </c>
      <c r="U84">
        <f t="shared" si="186"/>
        <v>62.945295059089858</v>
      </c>
      <c r="V84">
        <f t="shared" si="186"/>
        <v>42.759282979513046</v>
      </c>
      <c r="W84">
        <f t="shared" si="186"/>
        <v>300.33595264858332</v>
      </c>
      <c r="X84">
        <f t="shared" si="186"/>
        <v>227.81372020284243</v>
      </c>
      <c r="Y84">
        <f t="shared" si="186"/>
        <v>362.51455913397058</v>
      </c>
      <c r="Z84">
        <f t="shared" si="186"/>
        <v>346.75050567967855</v>
      </c>
      <c r="AA84">
        <f t="shared" si="186"/>
        <v>335.4494360288486</v>
      </c>
      <c r="AB84">
        <f t="shared" si="186"/>
        <v>319.94149314928154</v>
      </c>
      <c r="AC84">
        <f t="shared" si="186"/>
        <v>290.37173068257562</v>
      </c>
      <c r="AD84">
        <f t="shared" si="186"/>
        <v>228.78658228863469</v>
      </c>
      <c r="AE84" t="e">
        <f t="shared" si="186"/>
        <v>#VALUE!</v>
      </c>
      <c r="AF84" t="e">
        <f t="shared" si="186"/>
        <v>#VALUE!</v>
      </c>
      <c r="AG84">
        <f t="shared" si="186"/>
        <v>116.36245918512577</v>
      </c>
      <c r="AH84">
        <f t="shared" si="186"/>
        <v>101.17114551152508</v>
      </c>
      <c r="AI84">
        <f t="shared" si="186"/>
        <v>211.29379680363445</v>
      </c>
      <c r="AJ84">
        <f t="shared" si="186"/>
        <v>104.929966248455</v>
      </c>
      <c r="AK84">
        <f t="shared" si="186"/>
        <v>362.66864650008347</v>
      </c>
      <c r="AL84">
        <f t="shared" si="186"/>
        <v>345.01309599656906</v>
      </c>
      <c r="AM84">
        <f t="shared" si="186"/>
        <v>332.42477656239635</v>
      </c>
      <c r="AN84">
        <f t="shared" si="186"/>
        <v>319.41827321150595</v>
      </c>
      <c r="AO84">
        <f t="shared" si="186"/>
        <v>284.75834234313015</v>
      </c>
      <c r="AP84">
        <f t="shared" si="186"/>
        <v>219.5027811379091</v>
      </c>
      <c r="AQ84" t="e">
        <f t="shared" si="186"/>
        <v>#VALUE!</v>
      </c>
      <c r="AR84" t="e">
        <f t="shared" si="186"/>
        <v>#VALUE!</v>
      </c>
      <c r="AS84">
        <f>AS69-AS86</f>
        <v>115.98174432889937</v>
      </c>
      <c r="AT84">
        <f t="shared" ref="AT84:AV84" si="187">AT69-AT86</f>
        <v>101.58554300347623</v>
      </c>
      <c r="AU84">
        <f t="shared" si="187"/>
        <v>128.34665262507406</v>
      </c>
      <c r="AV84" t="e">
        <f t="shared" si="187"/>
        <v>#VALUE!</v>
      </c>
    </row>
    <row r="85" spans="1:48" x14ac:dyDescent="0.35">
      <c r="A85" t="s">
        <v>118</v>
      </c>
      <c r="B85">
        <f>B87*B87/1000</f>
        <v>40</v>
      </c>
      <c r="C85">
        <f t="shared" ref="C85:AR85" si="188">C87*C87/1000</f>
        <v>40</v>
      </c>
      <c r="D85">
        <f t="shared" si="188"/>
        <v>40</v>
      </c>
      <c r="E85">
        <f t="shared" si="188"/>
        <v>40</v>
      </c>
      <c r="F85">
        <f t="shared" si="188"/>
        <v>40</v>
      </c>
      <c r="G85">
        <f t="shared" si="188"/>
        <v>40</v>
      </c>
      <c r="H85">
        <f t="shared" si="188"/>
        <v>40</v>
      </c>
      <c r="I85" s="4">
        <f t="shared" si="188"/>
        <v>40</v>
      </c>
      <c r="J85">
        <f t="shared" si="188"/>
        <v>40</v>
      </c>
      <c r="K85">
        <f t="shared" si="188"/>
        <v>40</v>
      </c>
      <c r="L85">
        <f t="shared" si="188"/>
        <v>40</v>
      </c>
      <c r="M85">
        <f t="shared" si="188"/>
        <v>40</v>
      </c>
      <c r="N85">
        <f t="shared" si="188"/>
        <v>40</v>
      </c>
      <c r="O85">
        <f t="shared" si="188"/>
        <v>40</v>
      </c>
      <c r="P85">
        <f t="shared" si="188"/>
        <v>40</v>
      </c>
      <c r="Q85">
        <f t="shared" si="188"/>
        <v>40</v>
      </c>
      <c r="R85" s="6">
        <f t="shared" si="188"/>
        <v>40</v>
      </c>
      <c r="S85">
        <f t="shared" si="188"/>
        <v>40</v>
      </c>
      <c r="T85">
        <f t="shared" si="188"/>
        <v>40</v>
      </c>
      <c r="U85">
        <f t="shared" si="188"/>
        <v>40</v>
      </c>
      <c r="V85">
        <f t="shared" si="188"/>
        <v>40</v>
      </c>
      <c r="W85">
        <f t="shared" si="188"/>
        <v>40</v>
      </c>
      <c r="X85">
        <f t="shared" si="188"/>
        <v>40</v>
      </c>
      <c r="Y85">
        <f t="shared" si="188"/>
        <v>40</v>
      </c>
      <c r="Z85">
        <f t="shared" si="188"/>
        <v>40</v>
      </c>
      <c r="AA85">
        <f t="shared" si="188"/>
        <v>40</v>
      </c>
      <c r="AB85">
        <f t="shared" si="188"/>
        <v>40</v>
      </c>
      <c r="AC85">
        <f t="shared" si="188"/>
        <v>40</v>
      </c>
      <c r="AD85">
        <f t="shared" si="188"/>
        <v>40</v>
      </c>
      <c r="AE85">
        <f t="shared" si="188"/>
        <v>40</v>
      </c>
      <c r="AF85">
        <f t="shared" si="188"/>
        <v>40</v>
      </c>
      <c r="AG85">
        <f t="shared" si="188"/>
        <v>40</v>
      </c>
      <c r="AH85">
        <f t="shared" si="188"/>
        <v>40</v>
      </c>
      <c r="AI85">
        <f t="shared" si="188"/>
        <v>40</v>
      </c>
      <c r="AJ85">
        <f t="shared" si="188"/>
        <v>40</v>
      </c>
      <c r="AK85">
        <f t="shared" si="188"/>
        <v>40</v>
      </c>
      <c r="AL85">
        <f t="shared" si="188"/>
        <v>40</v>
      </c>
      <c r="AM85">
        <f t="shared" si="188"/>
        <v>40</v>
      </c>
      <c r="AN85">
        <f t="shared" si="188"/>
        <v>40</v>
      </c>
      <c r="AO85">
        <f t="shared" si="188"/>
        <v>40</v>
      </c>
      <c r="AP85">
        <f t="shared" si="188"/>
        <v>40</v>
      </c>
      <c r="AQ85">
        <f t="shared" si="188"/>
        <v>40</v>
      </c>
      <c r="AR85">
        <f t="shared" si="188"/>
        <v>40</v>
      </c>
      <c r="AS85">
        <f>AS87*AS87/1000</f>
        <v>40</v>
      </c>
      <c r="AT85">
        <f t="shared" ref="AT85:AV85" si="189">AT87*AT87/1000</f>
        <v>40</v>
      </c>
      <c r="AU85">
        <f t="shared" si="189"/>
        <v>40</v>
      </c>
      <c r="AV85">
        <f t="shared" si="189"/>
        <v>40</v>
      </c>
    </row>
    <row r="86" spans="1:48" x14ac:dyDescent="0.35">
      <c r="A86" t="s">
        <v>119</v>
      </c>
      <c r="B86">
        <f>IF(B66&gt;100,[1]!PropsSI("H","Q",1,"S",B70*1000,"REFPROP::Water")/1000,B76)</f>
        <v>2200.8057625190368</v>
      </c>
      <c r="C86">
        <f>IF(C66&gt;100,[1]!PropsSI("H","Q",1,"S",C70*1000,"REFPROP::Water")/1000,C76)</f>
        <v>2199.9316990704096</v>
      </c>
      <c r="D86">
        <f>IF(D66&gt;100,[1]!PropsSI("H","Q",1,"S",D70*1000,"REFPROP::Water")/1000,D76)</f>
        <v>2223.714236727003</v>
      </c>
      <c r="E86">
        <f>IF(E66&gt;100,[1]!PropsSI("H","Q",1,"S",E70*1000,"REFPROP::Water")/1000,E76)</f>
        <v>2221.4692587115678</v>
      </c>
      <c r="F86">
        <f>IF(F66&gt;100,[1]!PropsSI("H","Q",1,"S",F70*1000,"REFPROP::Water")/1000,F76)</f>
        <v>2240.4542667519577</v>
      </c>
      <c r="G86">
        <f>IF(G66&gt;100,[1]!PropsSI("H","Q",1,"S",G70*1000,"REFPROP::Water")/1000,G76)</f>
        <v>2250.8074357464984</v>
      </c>
      <c r="H86">
        <f>IF(H66&gt;100,[1]!PropsSI("H","Q",1,"S",H70*1000,"REFPROP::Water")/1000,H76)</f>
        <v>2250.9920084697901</v>
      </c>
      <c r="I86" s="4">
        <f>IF(I66&gt;100,[1]!PropsSI("H","Q",1,"S",I70*1000,"REFPROP::Water")/1000,I76)</f>
        <v>2224.2336207667577</v>
      </c>
      <c r="J86">
        <f>IF(J66&gt;100,[1]!PropsSI("H","Q",1,"S",J70*1000,"REFPROP::Water")/1000,J76)</f>
        <v>2253.6407625529932</v>
      </c>
      <c r="K86">
        <f>IF(K66&gt;100,[1]!PropsSI("H","Q",1,"S",K70*1000,"REFPROP::Water")/1000,K76)</f>
        <v>2288.8970202334808</v>
      </c>
      <c r="L86">
        <f>IF(L66&gt;100,[1]!PropsSI("H","Q",1,"S",L70*1000,"REFPROP::Water")/1000,L76)</f>
        <v>2361.7568655992632</v>
      </c>
      <c r="M86">
        <f>IF(M66&gt;100,[1]!PropsSI("H","Q",1,"S",M70*1000,"REFPROP::Water")/1000,M76)</f>
        <v>2394.0134592754353</v>
      </c>
      <c r="N86" t="e">
        <f>IF(N66&gt;100,[1]!PropsSI("H","Q",1,"S",N70*1000,"REFPROP::Water")/1000,N76)</f>
        <v>#VALUE!</v>
      </c>
      <c r="O86" t="e">
        <f>IF(O66&gt;100,[1]!PropsSI("H","Q",1,"S",O70*1000,"REFPROP::Water")/1000,O76)</f>
        <v>#VALUE!</v>
      </c>
      <c r="P86" t="e">
        <f>IF(P66&gt;100,[1]!PropsSI("H","Q",1,"S",P70*1000,"REFPROP::Water")/1000,P76)</f>
        <v>#VALUE!</v>
      </c>
      <c r="Q86">
        <f>IF(Q66&gt;100,[1]!PropsSI("H","Q",1,"S",Q70*1000,"REFPROP::Water")/1000,Q76)</f>
        <v>2445.1172332714168</v>
      </c>
      <c r="R86" s="6">
        <f>IF(R66&gt;100,[1]!PropsSI("H","Q",1,"S",R70*1000,"REFPROP::Water")/1000,R76)</f>
        <v>2391.3055040300551</v>
      </c>
      <c r="S86">
        <f>IF(S66&gt;100,[1]!PropsSI("H","Q",1,"S",S70*1000,"REFPROP::Water")/1000,S76)</f>
        <v>2386.1805131048691</v>
      </c>
      <c r="T86">
        <f>IF(T66&gt;100,[1]!PropsSI("H","Q",1,"S",T70*1000,"REFPROP::Water")/1000,T76)</f>
        <v>2349.8826121667998</v>
      </c>
      <c r="U86">
        <f>IF(U66&gt;100,[1]!PropsSI("H","Q",1,"S",U70*1000,"REFPROP::Water")/1000,U76)</f>
        <v>2405.126045706696</v>
      </c>
      <c r="V86">
        <f>IF(V66&gt;100,[1]!PropsSI("H","Q",1,"S",V70*1000,"REFPROP::Water")/1000,V76)</f>
        <v>2425.652338011475</v>
      </c>
      <c r="W86">
        <f>IF(W66&gt;100,[1]!PropsSI("H","Q",1,"S",W70*1000,"REFPROP::Water")/1000,W76)</f>
        <v>2220.5556382243763</v>
      </c>
      <c r="X86">
        <f>IF(X66&gt;100,[1]!PropsSI("H","Q",1,"S",X70*1000,"REFPROP::Water")/1000,X76)</f>
        <v>2310.9935661101349</v>
      </c>
      <c r="Y86">
        <f>IF(Y66&gt;100,[1]!PropsSI("H","Q",1,"S",Y70*1000,"REFPROP::Water")/1000,Y76)</f>
        <v>2222.9466803125715</v>
      </c>
      <c r="Z86">
        <f>IF(Z66&gt;100,[1]!PropsSI("H","Q",1,"S",Z70*1000,"REFPROP::Water")/1000,Z76)</f>
        <v>2239.7318601040438</v>
      </c>
      <c r="AA86">
        <f>IF(AA66&gt;100,[1]!PropsSI("H","Q",1,"S",AA70*1000,"REFPROP::Water")/1000,AA76)</f>
        <v>2252.7309472855709</v>
      </c>
      <c r="AB86">
        <f>IF(AB66&gt;100,[1]!PropsSI("H","Q",1,"S",AB70*1000,"REFPROP::Water")/1000,AB76)</f>
        <v>2270.8507354789695</v>
      </c>
      <c r="AC86">
        <f>IF(AC66&gt;100,[1]!PropsSI("H","Q",1,"S",AC70*1000,"REFPROP::Water")/1000,AC76)</f>
        <v>2307.3025181961757</v>
      </c>
      <c r="AD86">
        <f>IF(AD66&gt;100,[1]!PropsSI("H","Q",1,"S",AD70*1000,"REFPROP::Water")/1000,AD76)</f>
        <v>2381.6973892770334</v>
      </c>
      <c r="AE86" t="e">
        <f>IF(AE66&gt;100,[1]!PropsSI("H","Q",1,"S",AE70*1000,"REFPROP::Water")/1000,AE76)</f>
        <v>#VALUE!</v>
      </c>
      <c r="AF86" t="e">
        <f>IF(AF66&gt;100,[1]!PropsSI("H","Q",1,"S",AF70*1000,"REFPROP::Water")/1000,AF76)</f>
        <v>#VALUE!</v>
      </c>
      <c r="AG86">
        <f>IF(AG66&gt;100,[1]!PropsSI("H","Q",1,"S",AG70*1000,"REFPROP::Water")/1000,AG76)</f>
        <v>2444.9448975497971</v>
      </c>
      <c r="AH86">
        <f>IF(AH66&gt;100,[1]!PropsSI("H","Q",1,"S",AH70*1000,"REFPROP::Water")/1000,AH76)</f>
        <v>2414.0093758386733</v>
      </c>
      <c r="AI86">
        <f>IF(AI66&gt;100,[1]!PropsSI("H","Q",1,"S",AI70*1000,"REFPROP::Water")/1000,AI76)</f>
        <v>2344.9343972668489</v>
      </c>
      <c r="AJ86">
        <f>IF(AJ66&gt;100,[1]!PropsSI("H","Q",1,"S",AJ70*1000,"REFPROP::Water")/1000,AJ76)</f>
        <v>2475.4249255295904</v>
      </c>
      <c r="AK86">
        <f>IF(AK66&gt;100,[1]!PropsSI("H","Q",1,"S",AK70*1000,"REFPROP::Water")/1000,AK76)</f>
        <v>2230.5132985456926</v>
      </c>
      <c r="AL86">
        <f>IF(AL66&gt;100,[1]!PropsSI("H","Q",1,"S",AL70*1000,"REFPROP::Water")/1000,AL76)</f>
        <v>2249.8795149815483</v>
      </c>
      <c r="AM86">
        <f>IF(AM66&gt;100,[1]!PropsSI("H","Q",1,"S",AM70*1000,"REFPROP::Water")/1000,AM76)</f>
        <v>2265.0849189109481</v>
      </c>
      <c r="AN86">
        <f>IF(AN66&gt;100,[1]!PropsSI("H","Q",1,"S",AN70*1000,"REFPROP::Water")/1000,AN76)</f>
        <v>2279.520197170003</v>
      </c>
      <c r="AO86">
        <f>IF(AO66&gt;100,[1]!PropsSI("H","Q",1,"S",AO70*1000,"REFPROP::Water")/1000,AO76)</f>
        <v>2312.4206205300461</v>
      </c>
      <c r="AP86">
        <f>IF(AP66&gt;100,[1]!PropsSI("H","Q",1,"S",AP70*1000,"REFPROP::Water")/1000,AP76)</f>
        <v>2398.7992049151899</v>
      </c>
      <c r="AQ86" t="e">
        <f>IF(AQ66&gt;100,[1]!PropsSI("H","Q",1,"S",AQ70*1000,"REFPROP::Water")/1000,AQ76)</f>
        <v>#VALUE!</v>
      </c>
      <c r="AR86" t="e">
        <f>IF(AR66&gt;100,[1]!PropsSI("H","Q",1,"S",AR70*1000,"REFPROP::Water")/1000,AR76)</f>
        <v>#VALUE!</v>
      </c>
      <c r="AS86">
        <f>IF(AS66&gt;100,[1]!PropsSI("H","Q",1,"S",AS70*1000,"REFPROP::Water")/1000,AS76)</f>
        <v>2440.4540712354678</v>
      </c>
      <c r="AT86">
        <f>IF(AT66&gt;100,[1]!PropsSI("H","Q",1,"S",AT70*1000,"REFPROP::Water")/1000,AT76)</f>
        <v>2419.9160472835047</v>
      </c>
      <c r="AU86">
        <f>IF(AU66&gt;100,[1]!PropsSI("H","Q",1,"S",AU70*1000,"REFPROP::Water")/1000,AU76)</f>
        <v>2444.3143632048095</v>
      </c>
      <c r="AV86" t="e">
        <f>IF(AV66&gt;100,[1]!PropsSI("H","Q",1,"S",AV70*1000,"REFPROP::Water")/1000,AV76)</f>
        <v>#VALUE!</v>
      </c>
    </row>
    <row r="87" spans="1:48" x14ac:dyDescent="0.35">
      <c r="A87" t="s">
        <v>120</v>
      </c>
      <c r="B87">
        <v>200</v>
      </c>
      <c r="C87">
        <v>200</v>
      </c>
      <c r="D87">
        <v>200</v>
      </c>
      <c r="E87">
        <v>200</v>
      </c>
      <c r="F87">
        <v>200</v>
      </c>
      <c r="G87">
        <v>200</v>
      </c>
      <c r="H87">
        <v>200</v>
      </c>
      <c r="I87">
        <v>200</v>
      </c>
      <c r="J87">
        <v>200</v>
      </c>
      <c r="K87">
        <v>200</v>
      </c>
      <c r="L87">
        <v>200</v>
      </c>
      <c r="M87">
        <v>200</v>
      </c>
      <c r="N87">
        <v>200</v>
      </c>
      <c r="O87">
        <v>200</v>
      </c>
      <c r="P87">
        <v>200</v>
      </c>
      <c r="Q87">
        <v>200</v>
      </c>
      <c r="R87" s="6">
        <v>200</v>
      </c>
      <c r="S87">
        <v>200</v>
      </c>
      <c r="T87">
        <v>200</v>
      </c>
      <c r="U87">
        <v>200</v>
      </c>
      <c r="V87">
        <v>200</v>
      </c>
      <c r="W87">
        <v>200</v>
      </c>
      <c r="X87">
        <v>200</v>
      </c>
      <c r="Y87">
        <v>200</v>
      </c>
      <c r="Z87">
        <v>200</v>
      </c>
      <c r="AA87">
        <v>200</v>
      </c>
      <c r="AB87">
        <v>200</v>
      </c>
      <c r="AC87">
        <v>200</v>
      </c>
      <c r="AD87">
        <v>200</v>
      </c>
      <c r="AE87">
        <v>200</v>
      </c>
      <c r="AF87">
        <v>200</v>
      </c>
      <c r="AG87">
        <v>200</v>
      </c>
      <c r="AH87">
        <v>200</v>
      </c>
      <c r="AI87">
        <v>200</v>
      </c>
      <c r="AJ87">
        <v>200</v>
      </c>
      <c r="AK87">
        <v>200</v>
      </c>
      <c r="AL87">
        <v>200</v>
      </c>
      <c r="AM87">
        <v>200</v>
      </c>
      <c r="AN87">
        <v>200</v>
      </c>
      <c r="AO87">
        <v>200</v>
      </c>
      <c r="AP87">
        <v>200</v>
      </c>
      <c r="AQ87">
        <v>200</v>
      </c>
      <c r="AR87">
        <v>200</v>
      </c>
      <c r="AS87">
        <v>200</v>
      </c>
      <c r="AT87">
        <v>200</v>
      </c>
      <c r="AU87">
        <v>200</v>
      </c>
      <c r="AV87">
        <v>200</v>
      </c>
    </row>
    <row r="88" spans="1:48" x14ac:dyDescent="0.35">
      <c r="H88">
        <f>$I$87*H94/$I$94*H64/$I$64</f>
        <v>157.2948260856721</v>
      </c>
      <c r="I88" s="4"/>
    </row>
    <row r="89" spans="1:48" x14ac:dyDescent="0.35">
      <c r="B89">
        <f>B64</f>
        <v>76.72</v>
      </c>
      <c r="C89">
        <f t="shared" ref="C89:AU89" si="190">C64</f>
        <v>76.5</v>
      </c>
      <c r="D89">
        <f t="shared" si="190"/>
        <v>78.17</v>
      </c>
      <c r="E89">
        <f t="shared" si="190"/>
        <v>79.33</v>
      </c>
      <c r="F89">
        <f t="shared" si="190"/>
        <v>80.61</v>
      </c>
      <c r="G89">
        <f t="shared" si="190"/>
        <v>79.62</v>
      </c>
      <c r="H89">
        <f t="shared" si="190"/>
        <v>79.52</v>
      </c>
      <c r="I89" s="4">
        <f t="shared" si="190"/>
        <v>78.16</v>
      </c>
      <c r="J89">
        <f t="shared" si="190"/>
        <v>76.819999999999993</v>
      </c>
      <c r="K89">
        <f t="shared" si="190"/>
        <v>76.86</v>
      </c>
      <c r="L89">
        <f t="shared" si="190"/>
        <v>72.94</v>
      </c>
      <c r="M89">
        <f t="shared" si="190"/>
        <v>72.94</v>
      </c>
      <c r="N89">
        <f t="shared" si="190"/>
        <v>4.4400000000000004</v>
      </c>
      <c r="O89">
        <f t="shared" si="190"/>
        <v>4.4400000000000004</v>
      </c>
      <c r="P89">
        <f t="shared" si="190"/>
        <v>4.4400000000000004</v>
      </c>
      <c r="Q89">
        <f t="shared" si="190"/>
        <v>4.4400000000000004</v>
      </c>
      <c r="R89" s="6">
        <f t="shared" si="190"/>
        <v>4.4400000000000004</v>
      </c>
      <c r="S89">
        <f t="shared" si="190"/>
        <v>4.4400000000000004</v>
      </c>
      <c r="T89">
        <f t="shared" si="190"/>
        <v>4.4400000000000004</v>
      </c>
      <c r="U89">
        <f t="shared" si="190"/>
        <v>4.4400000000000004</v>
      </c>
      <c r="V89">
        <f t="shared" si="190"/>
        <v>4.4400000000000004</v>
      </c>
      <c r="W89">
        <f t="shared" si="190"/>
        <v>29.53</v>
      </c>
      <c r="X89">
        <f t="shared" si="190"/>
        <v>25.8</v>
      </c>
      <c r="Y89">
        <f t="shared" si="190"/>
        <v>64.25</v>
      </c>
      <c r="Z89">
        <f t="shared" si="190"/>
        <v>65.61</v>
      </c>
      <c r="AA89">
        <f t="shared" si="190"/>
        <v>67.81</v>
      </c>
      <c r="AB89">
        <f t="shared" si="190"/>
        <v>67.22</v>
      </c>
      <c r="AC89">
        <f t="shared" si="190"/>
        <v>64.89</v>
      </c>
      <c r="AD89">
        <f t="shared" si="190"/>
        <v>61.55</v>
      </c>
      <c r="AE89">
        <f t="shared" si="190"/>
        <v>4.4400000000000004</v>
      </c>
      <c r="AF89">
        <f t="shared" si="190"/>
        <v>4.4400000000000004</v>
      </c>
      <c r="AG89">
        <f t="shared" si="190"/>
        <v>4.4400000000000004</v>
      </c>
      <c r="AH89">
        <f t="shared" si="190"/>
        <v>4.4400000000000004</v>
      </c>
      <c r="AI89">
        <f t="shared" si="190"/>
        <v>18.84</v>
      </c>
      <c r="AJ89">
        <f t="shared" si="190"/>
        <v>16</v>
      </c>
      <c r="AK89">
        <f t="shared" si="190"/>
        <v>52.33</v>
      </c>
      <c r="AL89">
        <f t="shared" si="190"/>
        <v>53.5</v>
      </c>
      <c r="AM89">
        <f t="shared" si="190"/>
        <v>55.33</v>
      </c>
      <c r="AN89">
        <f t="shared" si="190"/>
        <v>55.17</v>
      </c>
      <c r="AO89">
        <f t="shared" si="190"/>
        <v>53.14</v>
      </c>
      <c r="AP89">
        <f t="shared" si="190"/>
        <v>50.25</v>
      </c>
      <c r="AQ89">
        <f t="shared" si="190"/>
        <v>4.4400000000000004</v>
      </c>
      <c r="AR89">
        <f t="shared" si="190"/>
        <v>4.4400000000000004</v>
      </c>
      <c r="AS89">
        <f t="shared" si="190"/>
        <v>4.4400000000000004</v>
      </c>
      <c r="AT89">
        <f t="shared" si="190"/>
        <v>4.4400000000000004</v>
      </c>
      <c r="AU89">
        <f t="shared" si="190"/>
        <v>7.68</v>
      </c>
    </row>
    <row r="90" spans="1:48" x14ac:dyDescent="0.35">
      <c r="B90">
        <f>B83-B77</f>
        <v>8.7216794302509726E-2</v>
      </c>
      <c r="C90">
        <f t="shared" ref="C90:AU90" si="191">C83-C77</f>
        <v>8.8613608302872793E-2</v>
      </c>
      <c r="D90">
        <f t="shared" si="191"/>
        <v>6.9836416808296442E-2</v>
      </c>
      <c r="E90">
        <f t="shared" si="191"/>
        <v>7.9977816815477332E-2</v>
      </c>
      <c r="F90">
        <f t="shared" si="191"/>
        <v>6.7511579604372707E-2</v>
      </c>
      <c r="G90">
        <f t="shared" si="191"/>
        <v>6.6108086927766263E-2</v>
      </c>
      <c r="H90">
        <f t="shared" si="191"/>
        <v>6.6232650627772727E-2</v>
      </c>
      <c r="I90" s="4">
        <f t="shared" si="191"/>
        <v>7.5959298250995011E-2</v>
      </c>
      <c r="J90">
        <f t="shared" si="191"/>
        <v>6.7990360679226036E-2</v>
      </c>
      <c r="K90">
        <f t="shared" si="191"/>
        <v>4.7710167394565905E-2</v>
      </c>
      <c r="L90">
        <f t="shared" si="191"/>
        <v>1.0428352281087738E-2</v>
      </c>
      <c r="M90">
        <f t="shared" si="191"/>
        <v>-1.1764183567905984E-2</v>
      </c>
      <c r="Q90">
        <f t="shared" si="191"/>
        <v>-0.21311949437045163</v>
      </c>
      <c r="R90" s="6">
        <f t="shared" si="191"/>
        <v>-0.20745911663135541</v>
      </c>
      <c r="S90">
        <f t="shared" si="191"/>
        <v>-0.20579668368347759</v>
      </c>
      <c r="T90">
        <f t="shared" si="191"/>
        <v>-0.43194438808190871</v>
      </c>
      <c r="U90">
        <f t="shared" si="191"/>
        <v>-0.51559474043107989</v>
      </c>
      <c r="V90">
        <f t="shared" si="191"/>
        <v>-0.86672995043517065</v>
      </c>
      <c r="W90">
        <f t="shared" si="191"/>
        <v>3.7851554032470425E-2</v>
      </c>
      <c r="X90">
        <f t="shared" si="191"/>
        <v>-2.4350173837666911E-2</v>
      </c>
      <c r="Y90">
        <f t="shared" si="191"/>
        <v>5.7384160817462448E-2</v>
      </c>
      <c r="Z90">
        <f t="shared" si="191"/>
        <v>5.196377492070936E-2</v>
      </c>
      <c r="AA90">
        <f t="shared" si="191"/>
        <v>4.672192969817579E-2</v>
      </c>
      <c r="AB90">
        <f t="shared" si="191"/>
        <v>3.2821838617129284E-2</v>
      </c>
      <c r="AC90">
        <f t="shared" si="191"/>
        <v>1.1718518831459357E-2</v>
      </c>
      <c r="AD90">
        <f t="shared" si="191"/>
        <v>-3.3274323579740028E-2</v>
      </c>
      <c r="AE90" t="e">
        <f t="shared" si="191"/>
        <v>#VALUE!</v>
      </c>
      <c r="AF90" t="e">
        <f t="shared" si="191"/>
        <v>#VALUE!</v>
      </c>
      <c r="AG90">
        <f t="shared" si="191"/>
        <v>-0.25468856595901623</v>
      </c>
      <c r="AH90">
        <f t="shared" si="191"/>
        <v>-0.29484891342987585</v>
      </c>
      <c r="AI90">
        <f t="shared" si="191"/>
        <v>-5.4801019766711367E-2</v>
      </c>
      <c r="AJ90">
        <f t="shared" si="191"/>
        <v>-0.34686535549886216</v>
      </c>
      <c r="AK90">
        <f t="shared" si="191"/>
        <v>6.2815441508156766E-2</v>
      </c>
      <c r="AL90">
        <f t="shared" si="191"/>
        <v>5.5757207076753801E-2</v>
      </c>
      <c r="AM90">
        <f t="shared" si="191"/>
        <v>4.8429941914957864E-2</v>
      </c>
      <c r="AN90">
        <f t="shared" si="191"/>
        <v>4.1073533447316235E-2</v>
      </c>
      <c r="AO90">
        <f t="shared" si="191"/>
        <v>1.0087756642039203E-2</v>
      </c>
      <c r="AP90">
        <f t="shared" si="191"/>
        <v>-4.4850957687101678E-2</v>
      </c>
      <c r="AS90">
        <f t="shared" si="191"/>
        <v>-0.24613082519036411</v>
      </c>
      <c r="AT90">
        <f t="shared" si="191"/>
        <v>-0.28733090797725569</v>
      </c>
      <c r="AU90">
        <f t="shared" si="191"/>
        <v>-0.20135699275769892</v>
      </c>
    </row>
    <row r="91" spans="1:48" x14ac:dyDescent="0.35">
      <c r="I91" s="4"/>
    </row>
    <row r="92" spans="1:48" x14ac:dyDescent="0.35">
      <c r="I92" s="4"/>
    </row>
    <row r="93" spans="1:48" x14ac:dyDescent="0.35">
      <c r="A93" t="s">
        <v>121</v>
      </c>
      <c r="B93">
        <f>1/[1]!PropsSI("D","H",B67*1000,"T",B65+273.15,"REFPROP::Water")</f>
        <v>1.1646983740145185</v>
      </c>
      <c r="C93">
        <f>1/[1]!PropsSI("D","H",C67*1000,"T",C65+273.15,"REFPROP::Water")</f>
        <v>1.1683390352164622</v>
      </c>
      <c r="D93">
        <f>1/[1]!PropsSI("D","H",D67*1000,"T",D65+273.15,"REFPROP::Water")</f>
        <v>1.1646983740145185</v>
      </c>
      <c r="E93">
        <f>1/[1]!PropsSI("D","H",E67*1000,"T",E65+273.15,"REFPROP::Water")</f>
        <v>1.1290238807310373</v>
      </c>
      <c r="F93">
        <f>1/[1]!PropsSI("D","H",F67*1000,"T",F65+273.15,"REFPROP::Water")</f>
        <v>1.1082429394167743</v>
      </c>
      <c r="G93">
        <f>1/[1]!PropsSI("D","H",G67*1000,"T",G65+273.15,"REFPROP::Water")</f>
        <v>1.1220458002182949</v>
      </c>
      <c r="H93">
        <f>1/[1]!PropsSI("D","H",H67*1000,"T",H65+273.15,"REFPROP::Water")</f>
        <v>1.1220458002182949</v>
      </c>
      <c r="I93" s="4">
        <f>1/[1]!PropsSI("D","H",I67*1000,"T",I65+273.15,"REFPROP::Water")</f>
        <v>1.1431355249035313</v>
      </c>
      <c r="J93">
        <f>1/[1]!PropsSI("D","H",J67*1000,"T",J65+273.15,"REFPROP::Water")</f>
        <v>1.1610711945623411</v>
      </c>
      <c r="K93">
        <f>1/[1]!PropsSI("D","H",K67*1000,"T",K65+273.15,"REFPROP::Water")</f>
        <v>1.1574574394829016</v>
      </c>
      <c r="L93">
        <f>1/[1]!PropsSI("D","H",L67*1000,"T",L65+273.15,"REFPROP::Water")</f>
        <v>1.2054999653068104</v>
      </c>
      <c r="M93">
        <f>1/[1]!PropsSI("D","H",M67*1000,"T",M65+273.15,"REFPROP::Water")</f>
        <v>1.2017212695325099</v>
      </c>
      <c r="P93">
        <f>1/[1]!PropsSI("D","H",P67*1000,"T",P65+273.15,"REFPROP::Water")</f>
        <v>4.2407193283610258</v>
      </c>
      <c r="Q93">
        <f>1/[1]!PropsSI("D","H",Q67*1000,"T",Q65+273.15,"REFPROP::Water")</f>
        <v>16.896781577980988</v>
      </c>
      <c r="R93" s="6">
        <f>1/[1]!PropsSI("D","H",R67*1000,"T",R65+273.15,"REFPROP::Water")</f>
        <v>17.047016341223781</v>
      </c>
      <c r="S93">
        <f>1/[1]!PropsSI("D","H",S67*1000,"T",S65+273.15,"REFPROP::Water")</f>
        <v>17.06380377458073</v>
      </c>
      <c r="T93">
        <f>1/[1]!PropsSI("D","H",T67*1000,"T",T65+273.15,"REFPROP::Water")</f>
        <v>17.047016341223781</v>
      </c>
      <c r="U93">
        <f>1/[1]!PropsSI("D","H",U67*1000,"T",U65+273.15,"REFPROP::Water")</f>
        <v>14.674596835621033</v>
      </c>
      <c r="V93">
        <f>1/[1]!PropsSI("D","H",V67*1000,"T",V65+273.15,"REFPROP::Water")</f>
        <v>13.212125013704684</v>
      </c>
      <c r="W93">
        <f>1/[1]!PropsSI("D","H",W67*1000,"T",W65+273.15,"REFPROP::Water")</f>
        <v>2.979903600609862</v>
      </c>
      <c r="X93">
        <f>1/[1]!PropsSI("D","H",X67*1000,"T",X65+273.15,"REFPROP::Water")</f>
        <v>3.3312401925860775</v>
      </c>
      <c r="Y93">
        <f>1/[1]!PropsSI("D","H",Y67*1000,"T",Y65+273.15,"REFPROP::Water")</f>
        <v>2.0933007188080035</v>
      </c>
      <c r="Z93">
        <f>1/[1]!PropsSI("D","H",Z67*1000,"T",Z65+273.15,"REFPROP::Water")</f>
        <v>2.050154827686729</v>
      </c>
      <c r="AA93">
        <f>1/[1]!PropsSI("D","H",AA67*1000,"T",AA65+273.15,"REFPROP::Water")</f>
        <v>1.9805564137758587</v>
      </c>
      <c r="AB93">
        <f>1/[1]!PropsSI("D","H",AB67*1000,"T",AB65+273.15,"REFPROP::Water")</f>
        <v>1.9942499545814441</v>
      </c>
      <c r="AC93">
        <f>1/[1]!PropsSI("D","H",AC67*1000,"T",AC65+273.15,"REFPROP::Water")</f>
        <v>2.0572723363602172</v>
      </c>
      <c r="AD93">
        <f>1/[1]!PropsSI("D","H",AD67*1000,"T",AD65+273.15,"REFPROP::Water")</f>
        <v>2.1226607747224899</v>
      </c>
      <c r="AG93">
        <f>1/[1]!PropsSI("D","H",AG67*1000,"T",AG65+273.15,"REFPROP::Water")</f>
        <v>25.100370232974342</v>
      </c>
      <c r="AH93">
        <f>1/[1]!PropsSI("D","H",AH67*1000,"T",AH65+273.15,"REFPROP::Water")</f>
        <v>24.724297242327165</v>
      </c>
      <c r="AI93">
        <f>1/[1]!PropsSI("D","H",AI67*1000,"T",AI65+273.15,"REFPROP::Water")</f>
        <v>6.7395651414991091</v>
      </c>
      <c r="AJ93">
        <f>1/[1]!PropsSI("D","H",AJ67*1000,"T",AJ65+273.15,"REFPROP::Water")</f>
        <v>7.0667142875594831</v>
      </c>
      <c r="AK93">
        <f>1/[1]!PropsSI("D","H",AK67*1000,"T",AK65+273.15,"REFPROP::Water")</f>
        <v>2.5431036648123913</v>
      </c>
      <c r="AL93">
        <f>1/[1]!PropsSI("D","H",AL67*1000,"T",AL65+273.15,"REFPROP::Water")</f>
        <v>2.488844612027008</v>
      </c>
      <c r="AM93">
        <f>1/[1]!PropsSI("D","H",AM67*1000,"T",AM65+273.15,"REFPROP::Water")</f>
        <v>2.4014137441195533</v>
      </c>
      <c r="AN93">
        <f>1/[1]!PropsSI("D","H",AN67*1000,"T",AN65+273.15,"REFPROP::Water")</f>
        <v>2.4099920566579622</v>
      </c>
      <c r="AO93">
        <f>1/[1]!PropsSI("D","H",AO67*1000,"T",AO65+273.15,"REFPROP::Water")</f>
        <v>2.488844612027008</v>
      </c>
      <c r="AP93">
        <f>1/[1]!PropsSI("D","H",AP67*1000,"T",AP65+273.15,"REFPROP::Water")</f>
        <v>2.5707552634243909</v>
      </c>
      <c r="AS93">
        <f>1/[1]!PropsSI("D","H",AS67*1000,"T",AS65+273.15,"REFPROP::Water")</f>
        <v>25.126546941849707</v>
      </c>
      <c r="AT93">
        <f>1/[1]!PropsSI("D","H",AT67*1000,"T",AT65+273.15,"REFPROP::Water")</f>
        <v>24.698600056791921</v>
      </c>
      <c r="AU93">
        <f>1/[1]!PropsSI("D","H",AU67*1000,"T",AU65+273.15,"REFPROP::Water")</f>
        <v>14.938488383927517</v>
      </c>
      <c r="AV93">
        <f>1/[1]!PropsSI("D","H",AV67*1000,"T",AV65+273.15,"REFPROP::Water")</f>
        <v>5.2918032361330996</v>
      </c>
    </row>
    <row r="94" spans="1:48" x14ac:dyDescent="0.35">
      <c r="A94" t="s">
        <v>122</v>
      </c>
      <c r="B94">
        <f>1/[1]!PropsSI("D","P",B71*1000000,"H",B76*1000,"REFPROP::Water")</f>
        <v>17.363645192057646</v>
      </c>
      <c r="C94">
        <f>1/[1]!PropsSI("D","P",C71*1000000,"H",C76*1000,"REFPROP::Water")</f>
        <v>17.598065563534245</v>
      </c>
      <c r="D94">
        <f>1/[1]!PropsSI("D","P",D71*1000000,"H",D76*1000,"REFPROP::Water")</f>
        <v>14.735757145413626</v>
      </c>
      <c r="E94">
        <f>1/[1]!PropsSI("D","P",E71*1000000,"H",E76*1000,"REFPROP::Water")</f>
        <v>14.553056190301717</v>
      </c>
      <c r="F94">
        <f>1/[1]!PropsSI("D","P",F71*1000000,"H",F76*1000,"REFPROP::Water")</f>
        <v>12.564223006090506</v>
      </c>
      <c r="G94">
        <f>1/[1]!PropsSI("D","P",G71*1000000,"H",G76*1000,"REFPROP::Water")</f>
        <v>11.940085096828009</v>
      </c>
      <c r="H94">
        <f>1/[1]!PropsSI("D","P",H71*1000000,"H",H76*1000,"REFPROP::Water")</f>
        <v>11.941157830547587</v>
      </c>
      <c r="I94" s="4">
        <f>1/[1]!PropsSI("D","P",I71*1000000,"H",I76*1000,"REFPROP::Water")</f>
        <v>15.447343976382401</v>
      </c>
      <c r="J94">
        <f>1/[1]!PropsSI("D","P",J71*1000000,"H",J76*1000,"REFPROP::Water")</f>
        <v>12.645088399229142</v>
      </c>
      <c r="K94">
        <f>1/[1]!PropsSI("D","P",K71*1000000,"H",K76*1000,"REFPROP::Water")</f>
        <v>9.8515623196709523</v>
      </c>
      <c r="L94">
        <f>1/[1]!PropsSI("D","P",L71*1000000,"H",L76*1000,"REFPROP::Water")</f>
        <v>6.8461916234936586</v>
      </c>
      <c r="M94">
        <f>1/[1]!PropsSI("D","P",M71*1000000,"H",M76*1000,"REFPROP::Water")</f>
        <v>5.5696936859076516</v>
      </c>
      <c r="P94">
        <f>1/[1]!PropsSI("D","P",P71*1000000,"H",P76*1000,"REFPROP::Water")</f>
        <v>257.23160050558874</v>
      </c>
      <c r="Q94">
        <f>1/[1]!PropsSI("D","P",Q71*1000000,"H",Q76*1000,"REFPROP::Water")</f>
        <v>38.840004550837904</v>
      </c>
      <c r="R94" s="6">
        <f>1/[1]!PropsSI("D","P",R71*1000000,"H",R76*1000,"REFPROP::Water")</f>
        <v>37.945066877050486</v>
      </c>
      <c r="S94">
        <f>1/[1]!PropsSI("D","P",S71*1000000,"H",S76*1000,"REFPROP::Water")</f>
        <v>37.859833647763324</v>
      </c>
      <c r="T94">
        <f>1/[1]!PropsSI("D","P",T71*1000000,"H",T76*1000,"REFPROP::Water")</f>
        <v>35.267616401463236</v>
      </c>
      <c r="U94">
        <f>1/[1]!PropsSI("D","P",U71*1000000,"H",U76*1000,"REFPROP::Water")</f>
        <v>21.134642417995966</v>
      </c>
      <c r="V94">
        <f>1/[1]!PropsSI("D","P",V71*1000000,"H",V76*1000,"REFPROP::Water")</f>
        <v>16.568133177808061</v>
      </c>
      <c r="W94">
        <f>1/[1]!PropsSI("D","P",W71*1000000,"H",W76*1000,"REFPROP::Water")</f>
        <v>20.012145949717009</v>
      </c>
      <c r="X94">
        <f>1/[1]!PropsSI("D","P",X71*1000000,"H",X76*1000,"REFPROP::Water")</f>
        <v>13.382367708248676</v>
      </c>
      <c r="Y94">
        <f>1/[1]!PropsSI("D","P",Y71*1000000,"H",Y76*1000,"REFPROP::Water")</f>
        <v>20.35621437474359</v>
      </c>
      <c r="Z94">
        <f>1/[1]!PropsSI("D","P",Z71*1000000,"H",Z76*1000,"REFPROP::Water")</f>
        <v>17.695362896998287</v>
      </c>
      <c r="AA94">
        <f>1/[1]!PropsSI("D","P",AA71*1000000,"H",AA76*1000,"REFPROP::Water")</f>
        <v>15.662024327903881</v>
      </c>
      <c r="AB94">
        <f>1/[1]!PropsSI("D","P",AB71*1000000,"H",AB76*1000,"REFPROP::Water")</f>
        <v>14.108578370719924</v>
      </c>
      <c r="AC94">
        <f>1/[1]!PropsSI("D","P",AC71*1000000,"H",AC76*1000,"REFPROP::Water")</f>
        <v>11.839893325501613</v>
      </c>
      <c r="AD94">
        <f>1/[1]!PropsSI("D","P",AD71*1000000,"H",AD76*1000,"REFPROP::Water")</f>
        <v>8.0759427080576511</v>
      </c>
      <c r="AG94">
        <f>1/[1]!PropsSI("D","P",AG71*1000000,"H",AG76*1000,"REFPROP::Water")</f>
        <v>54.231424955192132</v>
      </c>
      <c r="AH94">
        <f>1/[1]!PropsSI("D","P",AH71*1000000,"H",AH76*1000,"REFPROP::Water")</f>
        <v>47.803317189677657</v>
      </c>
      <c r="AI94">
        <f>1/[1]!PropsSI("D","P",AI71*1000000,"H",AI76*1000,"REFPROP::Water")</f>
        <v>25.675183868800438</v>
      </c>
      <c r="AJ94">
        <f>1/[1]!PropsSI("D","P",AJ71*1000000,"H",AJ76*1000,"REFPROP::Water")</f>
        <v>13.245558359617725</v>
      </c>
      <c r="AK94">
        <f>1/[1]!PropsSI("D","P",AK71*1000000,"H",AK76*1000,"REFPROP::Water")</f>
        <v>25.31854932798009</v>
      </c>
      <c r="AL94">
        <f>1/[1]!PropsSI("D","P",AL71*1000000,"H",AL76*1000,"REFPROP::Water")</f>
        <v>21.662726263576822</v>
      </c>
      <c r="AM94">
        <f>1/[1]!PropsSI("D","P",AM71*1000000,"H",AM76*1000,"REFPROP::Water")</f>
        <v>18.953013011423828</v>
      </c>
      <c r="AN94">
        <f>1/[1]!PropsSI("D","P",AN71*1000000,"H",AN76*1000,"REFPROP::Water")</f>
        <v>17.322061428704625</v>
      </c>
      <c r="AO94">
        <f>1/[1]!PropsSI("D","P",AO71*1000000,"H",AO76*1000,"REFPROP::Water")</f>
        <v>14.089134546058249</v>
      </c>
      <c r="AP94">
        <f>1/[1]!PropsSI("D","P",AP71*1000000,"H",AP76*1000,"REFPROP::Water")</f>
        <v>9.3570141070295652</v>
      </c>
      <c r="AS94">
        <f>1/[1]!PropsSI("D","P",AS71*1000000,"H",AS76*1000,"REFPROP::Water")</f>
        <v>54.128199590064654</v>
      </c>
      <c r="AT94">
        <f>1/[1]!PropsSI("D","P",AT71*1000000,"H",AT76*1000,"REFPROP::Water")</f>
        <v>47.9250039273727</v>
      </c>
      <c r="AU94">
        <f>1/[1]!PropsSI("D","P",AU71*1000000,"H",AU76*1000,"REFPROP::Water")</f>
        <v>34.0429598372667</v>
      </c>
      <c r="AV94">
        <f>1/[1]!PropsSI("D","P",AV71*1000000,"H",AV76*1000,"REFPROP::Water")</f>
        <v>133.12693000948485</v>
      </c>
    </row>
    <row r="95" spans="1:48" x14ac:dyDescent="0.35">
      <c r="A95" t="s">
        <v>123</v>
      </c>
      <c r="B95">
        <f>(B93+B94)/2</f>
        <v>9.2641717830360832</v>
      </c>
      <c r="C95">
        <f t="shared" ref="C95:AV95" si="192">(C93+C94)/2</f>
        <v>9.3832022993753537</v>
      </c>
      <c r="D95">
        <f t="shared" si="192"/>
        <v>7.950227759714072</v>
      </c>
      <c r="E95">
        <f t="shared" si="192"/>
        <v>7.841040035516377</v>
      </c>
      <c r="F95">
        <f t="shared" si="192"/>
        <v>6.8362329727536402</v>
      </c>
      <c r="G95">
        <f t="shared" si="192"/>
        <v>6.5310654485231519</v>
      </c>
      <c r="H95">
        <f t="shared" si="192"/>
        <v>6.5316018153829409</v>
      </c>
      <c r="I95" s="4">
        <f t="shared" si="192"/>
        <v>8.2952397506429669</v>
      </c>
      <c r="J95">
        <f t="shared" si="192"/>
        <v>6.9030797968957414</v>
      </c>
      <c r="K95">
        <f t="shared" si="192"/>
        <v>5.5045098795769274</v>
      </c>
      <c r="L95">
        <f t="shared" si="192"/>
        <v>4.0258457944002348</v>
      </c>
      <c r="M95">
        <f t="shared" si="192"/>
        <v>3.3857074777200808</v>
      </c>
      <c r="P95">
        <f t="shared" si="192"/>
        <v>130.73615991697488</v>
      </c>
      <c r="Q95">
        <f t="shared" si="192"/>
        <v>27.868393064409446</v>
      </c>
      <c r="R95" s="6">
        <f t="shared" si="192"/>
        <v>27.496041609137134</v>
      </c>
      <c r="S95">
        <f t="shared" si="192"/>
        <v>27.461818711172029</v>
      </c>
      <c r="T95">
        <f t="shared" si="192"/>
        <v>26.157316371343509</v>
      </c>
      <c r="U95">
        <f t="shared" si="192"/>
        <v>17.9046196268085</v>
      </c>
      <c r="V95">
        <f t="shared" si="192"/>
        <v>14.890129095756372</v>
      </c>
      <c r="W95">
        <f t="shared" si="192"/>
        <v>11.496024775163436</v>
      </c>
      <c r="X95">
        <f t="shared" si="192"/>
        <v>8.3568039504173761</v>
      </c>
      <c r="Y95">
        <f t="shared" si="192"/>
        <v>11.224757546775797</v>
      </c>
      <c r="Z95">
        <f t="shared" si="192"/>
        <v>9.8727588623425078</v>
      </c>
      <c r="AA95">
        <f t="shared" si="192"/>
        <v>8.8212903708398702</v>
      </c>
      <c r="AB95">
        <f t="shared" si="192"/>
        <v>8.0514141626506834</v>
      </c>
      <c r="AC95">
        <f t="shared" si="192"/>
        <v>6.9485828309309152</v>
      </c>
      <c r="AD95">
        <f t="shared" si="192"/>
        <v>5.0993017413900708</v>
      </c>
      <c r="AG95">
        <f t="shared" si="192"/>
        <v>39.665897594083233</v>
      </c>
      <c r="AH95">
        <f t="shared" si="192"/>
        <v>36.263807216002412</v>
      </c>
      <c r="AI95">
        <f t="shared" si="192"/>
        <v>16.207374505149772</v>
      </c>
      <c r="AJ95">
        <f t="shared" si="192"/>
        <v>10.156136323588605</v>
      </c>
      <c r="AK95">
        <f t="shared" si="192"/>
        <v>13.930826496396241</v>
      </c>
      <c r="AL95">
        <f t="shared" si="192"/>
        <v>12.075785437801915</v>
      </c>
      <c r="AM95">
        <f t="shared" si="192"/>
        <v>10.67721337777169</v>
      </c>
      <c r="AN95">
        <f t="shared" si="192"/>
        <v>9.866026742681294</v>
      </c>
      <c r="AO95">
        <f t="shared" si="192"/>
        <v>8.288989579042628</v>
      </c>
      <c r="AP95">
        <f t="shared" si="192"/>
        <v>5.9638846852269776</v>
      </c>
      <c r="AS95">
        <f t="shared" si="192"/>
        <v>39.627373265957182</v>
      </c>
      <c r="AT95">
        <f t="shared" si="192"/>
        <v>36.311801992082309</v>
      </c>
      <c r="AU95">
        <f t="shared" si="192"/>
        <v>24.490724110597107</v>
      </c>
      <c r="AV95">
        <f t="shared" si="192"/>
        <v>69.209366622808972</v>
      </c>
    </row>
    <row r="96" spans="1:48" x14ac:dyDescent="0.35">
      <c r="A96" t="s">
        <v>124</v>
      </c>
      <c r="B96">
        <f>B86*B64</f>
        <v>168845.81810046048</v>
      </c>
      <c r="C96">
        <f t="shared" ref="C96:AV96" si="193">C86*C64</f>
        <v>168294.77497888633</v>
      </c>
      <c r="D96">
        <f t="shared" si="193"/>
        <v>173827.74188494982</v>
      </c>
      <c r="E96">
        <f t="shared" si="193"/>
        <v>176229.15629358866</v>
      </c>
      <c r="F96">
        <f t="shared" si="193"/>
        <v>180603.0184428753</v>
      </c>
      <c r="G96">
        <f t="shared" si="193"/>
        <v>179209.2880341362</v>
      </c>
      <c r="H96">
        <f t="shared" si="193"/>
        <v>178998.8845135177</v>
      </c>
      <c r="I96" s="4">
        <f t="shared" si="193"/>
        <v>173846.09979912976</v>
      </c>
      <c r="J96">
        <f t="shared" si="193"/>
        <v>173124.68337932092</v>
      </c>
      <c r="K96">
        <f t="shared" si="193"/>
        <v>175924.62497514533</v>
      </c>
      <c r="L96">
        <f t="shared" si="193"/>
        <v>172266.54577681026</v>
      </c>
      <c r="M96">
        <f t="shared" si="193"/>
        <v>174619.34171955026</v>
      </c>
      <c r="P96" t="e">
        <f t="shared" si="193"/>
        <v>#VALUE!</v>
      </c>
      <c r="Q96">
        <f t="shared" si="193"/>
        <v>10856.320515725092</v>
      </c>
      <c r="R96" s="6">
        <f t="shared" si="193"/>
        <v>10617.396437893445</v>
      </c>
      <c r="S96">
        <f t="shared" si="193"/>
        <v>10594.64147818562</v>
      </c>
      <c r="T96">
        <f t="shared" si="193"/>
        <v>10433.478798020593</v>
      </c>
      <c r="U96">
        <f t="shared" si="193"/>
        <v>10678.759642937732</v>
      </c>
      <c r="V96">
        <f t="shared" si="193"/>
        <v>10769.89638077095</v>
      </c>
      <c r="W96">
        <f t="shared" si="193"/>
        <v>65573.007996765838</v>
      </c>
      <c r="X96">
        <f t="shared" si="193"/>
        <v>59623.634005641485</v>
      </c>
      <c r="Y96">
        <f t="shared" si="193"/>
        <v>142824.32421008273</v>
      </c>
      <c r="Z96">
        <f t="shared" si="193"/>
        <v>146948.80734142632</v>
      </c>
      <c r="AA96">
        <f t="shared" si="193"/>
        <v>152757.68553543458</v>
      </c>
      <c r="AB96">
        <f t="shared" si="193"/>
        <v>152646.58643889634</v>
      </c>
      <c r="AC96">
        <f t="shared" si="193"/>
        <v>149720.86040574985</v>
      </c>
      <c r="AD96">
        <f t="shared" si="193"/>
        <v>146593.47431000139</v>
      </c>
      <c r="AG96">
        <f t="shared" si="193"/>
        <v>10855.5553451211</v>
      </c>
      <c r="AH96">
        <f t="shared" si="193"/>
        <v>10718.201628723711</v>
      </c>
      <c r="AI96">
        <f t="shared" si="193"/>
        <v>44178.564044507431</v>
      </c>
      <c r="AJ96">
        <f t="shared" si="193"/>
        <v>39606.798808473446</v>
      </c>
      <c r="AK96">
        <f t="shared" si="193"/>
        <v>116722.76091289609</v>
      </c>
      <c r="AL96">
        <f t="shared" si="193"/>
        <v>120368.55405151284</v>
      </c>
      <c r="AM96">
        <f t="shared" si="193"/>
        <v>125327.14856334275</v>
      </c>
      <c r="AN96">
        <f t="shared" si="193"/>
        <v>125761.12927786907</v>
      </c>
      <c r="AO96">
        <f t="shared" si="193"/>
        <v>122882.03177496666</v>
      </c>
      <c r="AP96">
        <f t="shared" si="193"/>
        <v>120539.6600469883</v>
      </c>
      <c r="AS96">
        <f t="shared" si="193"/>
        <v>10835.616076285478</v>
      </c>
      <c r="AT96">
        <f t="shared" si="193"/>
        <v>10744.427249938763</v>
      </c>
      <c r="AU96">
        <f t="shared" si="193"/>
        <v>18772.334309412938</v>
      </c>
      <c r="AV96" t="e">
        <f t="shared" si="193"/>
        <v>#VALUE!</v>
      </c>
    </row>
    <row r="97" spans="1:48" x14ac:dyDescent="0.35">
      <c r="A97" t="s">
        <v>125</v>
      </c>
      <c r="B97">
        <f>B95*B64</f>
        <v>710.74725919452828</v>
      </c>
      <c r="C97">
        <f t="shared" ref="C97:AV97" si="194">C95*C64</f>
        <v>717.81497590221454</v>
      </c>
      <c r="D97">
        <f t="shared" si="194"/>
        <v>621.46930397684901</v>
      </c>
      <c r="E97">
        <f t="shared" si="194"/>
        <v>622.02970601751417</v>
      </c>
      <c r="F97">
        <f t="shared" si="194"/>
        <v>551.06873993367094</v>
      </c>
      <c r="G97">
        <f t="shared" si="194"/>
        <v>520.00343101141334</v>
      </c>
      <c r="H97">
        <f t="shared" si="194"/>
        <v>519.39297635925141</v>
      </c>
      <c r="I97" s="4">
        <f t="shared" si="194"/>
        <v>648.35593891025428</v>
      </c>
      <c r="J97">
        <f t="shared" si="194"/>
        <v>530.29458999753081</v>
      </c>
      <c r="K97">
        <f t="shared" si="194"/>
        <v>423.07662934428265</v>
      </c>
      <c r="L97">
        <f t="shared" si="194"/>
        <v>293.64519224355314</v>
      </c>
      <c r="M97">
        <f t="shared" si="194"/>
        <v>246.95350342490269</v>
      </c>
      <c r="P97">
        <f t="shared" si="194"/>
        <v>580.46855003136852</v>
      </c>
      <c r="Q97">
        <f t="shared" si="194"/>
        <v>123.73566520597795</v>
      </c>
      <c r="R97" s="6">
        <f t="shared" si="194"/>
        <v>122.08242474456888</v>
      </c>
      <c r="S97">
        <f t="shared" si="194"/>
        <v>121.93047507760382</v>
      </c>
      <c r="T97">
        <f t="shared" si="194"/>
        <v>116.13848468876519</v>
      </c>
      <c r="U97">
        <f t="shared" si="194"/>
        <v>79.49651114302975</v>
      </c>
      <c r="V97">
        <f t="shared" si="194"/>
        <v>66.112173185158298</v>
      </c>
      <c r="W97">
        <f t="shared" si="194"/>
        <v>339.47761161057628</v>
      </c>
      <c r="X97">
        <f t="shared" si="194"/>
        <v>215.6055419207683</v>
      </c>
      <c r="Y97">
        <f t="shared" si="194"/>
        <v>721.19067238034495</v>
      </c>
      <c r="Z97">
        <f t="shared" si="194"/>
        <v>647.75170895829194</v>
      </c>
      <c r="AA97">
        <f t="shared" si="194"/>
        <v>598.17170004665161</v>
      </c>
      <c r="AB97">
        <f t="shared" si="194"/>
        <v>541.21606001337898</v>
      </c>
      <c r="AC97">
        <f t="shared" si="194"/>
        <v>450.89353989910711</v>
      </c>
      <c r="AD97">
        <f t="shared" si="194"/>
        <v>313.86202218255886</v>
      </c>
      <c r="AG97">
        <f t="shared" si="194"/>
        <v>176.11658531772957</v>
      </c>
      <c r="AH97">
        <f t="shared" si="194"/>
        <v>161.01130403905071</v>
      </c>
      <c r="AI97">
        <f t="shared" si="194"/>
        <v>305.34693567702169</v>
      </c>
      <c r="AJ97">
        <f t="shared" si="194"/>
        <v>162.49818117741768</v>
      </c>
      <c r="AK97">
        <f t="shared" si="194"/>
        <v>729.00015055641529</v>
      </c>
      <c r="AL97">
        <f t="shared" si="194"/>
        <v>646.0545209224025</v>
      </c>
      <c r="AM97">
        <f t="shared" si="194"/>
        <v>590.77021619210757</v>
      </c>
      <c r="AN97">
        <f t="shared" si="194"/>
        <v>544.30869539372702</v>
      </c>
      <c r="AO97">
        <f t="shared" si="194"/>
        <v>440.47690623032526</v>
      </c>
      <c r="AP97">
        <f t="shared" si="194"/>
        <v>299.68520543265561</v>
      </c>
      <c r="AS97">
        <f t="shared" si="194"/>
        <v>175.94553730084991</v>
      </c>
      <c r="AT97">
        <f t="shared" si="194"/>
        <v>161.22440084484546</v>
      </c>
      <c r="AU97">
        <f t="shared" si="194"/>
        <v>188.08876116938578</v>
      </c>
      <c r="AV97">
        <f t="shared" si="194"/>
        <v>382.03570375790548</v>
      </c>
    </row>
    <row r="98" spans="1:48" x14ac:dyDescent="0.35">
      <c r="A98" t="s">
        <v>126</v>
      </c>
      <c r="B98">
        <f>B97/$I$97</f>
        <v>1.0962300436225514</v>
      </c>
      <c r="C98">
        <f t="shared" ref="C98:AV98" si="195">C97/$I$97</f>
        <v>1.1071310260668019</v>
      </c>
      <c r="D98">
        <f t="shared" si="195"/>
        <v>0.95853105783438053</v>
      </c>
      <c r="E98">
        <f t="shared" si="195"/>
        <v>0.95939540102464582</v>
      </c>
      <c r="F98">
        <f t="shared" si="195"/>
        <v>0.84994785558669828</v>
      </c>
      <c r="G98">
        <f t="shared" si="195"/>
        <v>0.80203388263154696</v>
      </c>
      <c r="H98">
        <f t="shared" si="195"/>
        <v>0.80109234016154518</v>
      </c>
      <c r="I98" s="4">
        <f t="shared" si="195"/>
        <v>1</v>
      </c>
      <c r="J98">
        <f t="shared" si="195"/>
        <v>0.81790658212962619</v>
      </c>
      <c r="K98">
        <f t="shared" si="195"/>
        <v>0.65253760157635432</v>
      </c>
      <c r="L98">
        <f t="shared" si="195"/>
        <v>0.45290738407842307</v>
      </c>
      <c r="M98">
        <f t="shared" si="195"/>
        <v>0.38089186603268871</v>
      </c>
      <c r="P98">
        <f t="shared" si="195"/>
        <v>0.89529302532033606</v>
      </c>
      <c r="Q98">
        <f t="shared" si="195"/>
        <v>0.19084527152469793</v>
      </c>
      <c r="R98" s="6">
        <f t="shared" si="195"/>
        <v>0.18829537514495967</v>
      </c>
      <c r="S98">
        <f t="shared" si="195"/>
        <v>0.18806101365022199</v>
      </c>
      <c r="T98">
        <f t="shared" si="195"/>
        <v>0.17912766386310702</v>
      </c>
      <c r="U98">
        <f t="shared" si="195"/>
        <v>0.12261245154420293</v>
      </c>
      <c r="V98">
        <f t="shared" si="195"/>
        <v>0.10196894825437787</v>
      </c>
      <c r="W98">
        <f t="shared" si="195"/>
        <v>0.52359759699458375</v>
      </c>
      <c r="X98">
        <f t="shared" si="195"/>
        <v>0.3325419402853847</v>
      </c>
      <c r="Y98">
        <f t="shared" si="195"/>
        <v>1.1123375743152906</v>
      </c>
      <c r="Z98">
        <f t="shared" si="195"/>
        <v>0.99906805827524625</v>
      </c>
      <c r="AA98">
        <f t="shared" si="195"/>
        <v>0.9225977031259226</v>
      </c>
      <c r="AB98">
        <f t="shared" si="195"/>
        <v>0.83475144983332117</v>
      </c>
      <c r="AC98">
        <f t="shared" si="195"/>
        <v>0.69544136613749752</v>
      </c>
      <c r="AD98">
        <f t="shared" si="195"/>
        <v>0.48408906797413292</v>
      </c>
      <c r="AG98">
        <f t="shared" si="195"/>
        <v>0.27163564756381092</v>
      </c>
      <c r="AH98">
        <f t="shared" si="195"/>
        <v>0.2483378255309511</v>
      </c>
      <c r="AI98">
        <f t="shared" si="195"/>
        <v>0.47095571637740169</v>
      </c>
      <c r="AJ98">
        <f t="shared" si="195"/>
        <v>0.25063112933081461</v>
      </c>
      <c r="AK98">
        <f t="shared" si="195"/>
        <v>1.1243826219617985</v>
      </c>
      <c r="AL98">
        <f t="shared" si="195"/>
        <v>0.99645037879699239</v>
      </c>
      <c r="AM98">
        <f t="shared" si="195"/>
        <v>0.91118193069236653</v>
      </c>
      <c r="AN98">
        <f t="shared" si="195"/>
        <v>0.83952141520997225</v>
      </c>
      <c r="AO98">
        <f t="shared" si="195"/>
        <v>0.67937513917227532</v>
      </c>
      <c r="AP98">
        <f t="shared" si="195"/>
        <v>0.46222327497510307</v>
      </c>
      <c r="AS98">
        <f t="shared" si="195"/>
        <v>0.27137182948701943</v>
      </c>
      <c r="AT98">
        <f t="shared" si="195"/>
        <v>0.24866649809027541</v>
      </c>
      <c r="AU98">
        <f t="shared" si="195"/>
        <v>0.29010108473059132</v>
      </c>
      <c r="AV98">
        <f t="shared" si="195"/>
        <v>0.58923760982281526</v>
      </c>
    </row>
    <row r="99" spans="1:48" x14ac:dyDescent="0.35">
      <c r="B99">
        <f>B77</f>
        <v>0.71841941438276224</v>
      </c>
      <c r="C99">
        <f t="shared" ref="C99:AV99" si="196">C77</f>
        <v>0.71746257220669918</v>
      </c>
      <c r="D99">
        <f t="shared" si="196"/>
        <v>0.72835487465604976</v>
      </c>
      <c r="E99">
        <f t="shared" si="196"/>
        <v>0.71895959944823806</v>
      </c>
      <c r="F99">
        <f t="shared" si="196"/>
        <v>0.72530650084151382</v>
      </c>
      <c r="G99">
        <f t="shared" si="196"/>
        <v>0.72311342745658536</v>
      </c>
      <c r="H99">
        <f t="shared" si="196"/>
        <v>0.7230019575903518</v>
      </c>
      <c r="I99" s="4">
        <f t="shared" si="196"/>
        <v>0.72627003018629843</v>
      </c>
      <c r="J99">
        <f t="shared" si="196"/>
        <v>0.72261212016811671</v>
      </c>
      <c r="K99">
        <f t="shared" si="196"/>
        <v>0.72846324414072983</v>
      </c>
      <c r="L99">
        <f t="shared" si="196"/>
        <v>0.73580709462460103</v>
      </c>
      <c r="M99">
        <f t="shared" si="196"/>
        <v>0.738221140397603</v>
      </c>
      <c r="P99">
        <f t="shared" si="196"/>
        <v>-4.3540656790572202E-2</v>
      </c>
      <c r="Q99">
        <f t="shared" si="196"/>
        <v>0.75620899673602426</v>
      </c>
      <c r="R99" s="6">
        <f t="shared" si="196"/>
        <v>0.73858081520018648</v>
      </c>
      <c r="S99">
        <f t="shared" si="196"/>
        <v>0.73567322717685835</v>
      </c>
      <c r="T99">
        <f t="shared" si="196"/>
        <v>0.93614454136456082</v>
      </c>
      <c r="U99">
        <f t="shared" si="196"/>
        <v>0.72422850393976401</v>
      </c>
      <c r="V99">
        <f t="shared" si="196"/>
        <v>0.77274772198282149</v>
      </c>
      <c r="W99">
        <f t="shared" si="196"/>
        <v>0.70528750498266413</v>
      </c>
      <c r="X99">
        <f t="shared" si="196"/>
        <v>0.71567782279570147</v>
      </c>
      <c r="Y99">
        <f t="shared" si="196"/>
        <v>0.71816913659930137</v>
      </c>
      <c r="Z99">
        <f t="shared" si="196"/>
        <v>0.716288744496133</v>
      </c>
      <c r="AA99">
        <f t="shared" si="196"/>
        <v>0.71605259825143641</v>
      </c>
      <c r="AB99">
        <f t="shared" si="196"/>
        <v>0.72229729085311922</v>
      </c>
      <c r="AC99">
        <f t="shared" si="196"/>
        <v>0.72678745361496944</v>
      </c>
      <c r="AD99">
        <f t="shared" si="196"/>
        <v>0.72613217584983591</v>
      </c>
      <c r="AG99">
        <f t="shared" si="196"/>
        <v>0.7635588364072492</v>
      </c>
      <c r="AH99">
        <f t="shared" si="196"/>
        <v>0.7495360265104426</v>
      </c>
      <c r="AI99">
        <f t="shared" si="196"/>
        <v>0.73097265668106659</v>
      </c>
      <c r="AJ99">
        <f t="shared" si="196"/>
        <v>0.81707829547446864</v>
      </c>
      <c r="AK99">
        <f t="shared" si="196"/>
        <v>0.712857377347905</v>
      </c>
      <c r="AL99">
        <f t="shared" si="196"/>
        <v>0.7117600604309724</v>
      </c>
      <c r="AM99">
        <f t="shared" si="196"/>
        <v>0.71299110675182464</v>
      </c>
      <c r="AN99">
        <f t="shared" si="196"/>
        <v>0.71367701457667065</v>
      </c>
      <c r="AO99">
        <f t="shared" si="196"/>
        <v>0.72497144368817801</v>
      </c>
      <c r="AP99">
        <f t="shared" si="196"/>
        <v>0.72923320415182524</v>
      </c>
      <c r="AS99">
        <f t="shared" si="196"/>
        <v>0.75366686320020027</v>
      </c>
      <c r="AT99">
        <f t="shared" si="196"/>
        <v>0.7436384647784724</v>
      </c>
      <c r="AU99">
        <f t="shared" si="196"/>
        <v>0.74375049757793688</v>
      </c>
      <c r="AV99">
        <f t="shared" si="196"/>
        <v>-1.1274915720650532E-2</v>
      </c>
    </row>
    <row r="100" spans="1:48" x14ac:dyDescent="0.35">
      <c r="B100">
        <f>B90</f>
        <v>8.7216794302509726E-2</v>
      </c>
      <c r="C100">
        <f t="shared" ref="C100:AV100" si="197">C90</f>
        <v>8.8613608302872793E-2</v>
      </c>
      <c r="D100">
        <f t="shared" si="197"/>
        <v>6.9836416808296442E-2</v>
      </c>
      <c r="E100">
        <f t="shared" si="197"/>
        <v>7.9977816815477332E-2</v>
      </c>
      <c r="F100">
        <f t="shared" si="197"/>
        <v>6.7511579604372707E-2</v>
      </c>
      <c r="G100">
        <f t="shared" si="197"/>
        <v>6.6108086927766263E-2</v>
      </c>
      <c r="H100">
        <f t="shared" si="197"/>
        <v>6.6232650627772727E-2</v>
      </c>
      <c r="I100" s="4">
        <f t="shared" si="197"/>
        <v>7.5959298250995011E-2</v>
      </c>
      <c r="J100">
        <f t="shared" si="197"/>
        <v>6.7990360679226036E-2</v>
      </c>
      <c r="K100">
        <f t="shared" si="197"/>
        <v>4.7710167394565905E-2</v>
      </c>
      <c r="L100">
        <f t="shared" si="197"/>
        <v>1.0428352281087738E-2</v>
      </c>
      <c r="M100">
        <f t="shared" si="197"/>
        <v>-1.1764183567905984E-2</v>
      </c>
      <c r="P100">
        <f t="shared" si="197"/>
        <v>0</v>
      </c>
      <c r="Q100">
        <f t="shared" si="197"/>
        <v>-0.21311949437045163</v>
      </c>
      <c r="R100" s="6">
        <f t="shared" si="197"/>
        <v>-0.20745911663135541</v>
      </c>
      <c r="S100">
        <f t="shared" si="197"/>
        <v>-0.20579668368347759</v>
      </c>
      <c r="T100">
        <f t="shared" si="197"/>
        <v>-0.43194438808190871</v>
      </c>
      <c r="U100">
        <f t="shared" si="197"/>
        <v>-0.51559474043107989</v>
      </c>
      <c r="V100">
        <f t="shared" si="197"/>
        <v>-0.86672995043517065</v>
      </c>
      <c r="W100">
        <f t="shared" si="197"/>
        <v>3.7851554032470425E-2</v>
      </c>
      <c r="X100">
        <f t="shared" si="197"/>
        <v>-2.4350173837666911E-2</v>
      </c>
      <c r="Y100">
        <f t="shared" si="197"/>
        <v>5.7384160817462448E-2</v>
      </c>
      <c r="Z100">
        <f t="shared" si="197"/>
        <v>5.196377492070936E-2</v>
      </c>
      <c r="AA100">
        <f t="shared" si="197"/>
        <v>4.672192969817579E-2</v>
      </c>
      <c r="AB100">
        <f t="shared" si="197"/>
        <v>3.2821838617129284E-2</v>
      </c>
      <c r="AC100">
        <f t="shared" si="197"/>
        <v>1.1718518831459357E-2</v>
      </c>
      <c r="AD100">
        <f t="shared" si="197"/>
        <v>-3.3274323579740028E-2</v>
      </c>
      <c r="AG100">
        <f t="shared" si="197"/>
        <v>-0.25468856595901623</v>
      </c>
      <c r="AH100">
        <f t="shared" si="197"/>
        <v>-0.29484891342987585</v>
      </c>
      <c r="AI100">
        <f t="shared" si="197"/>
        <v>-5.4801019766711367E-2</v>
      </c>
      <c r="AJ100">
        <f t="shared" si="197"/>
        <v>-0.34686535549886216</v>
      </c>
      <c r="AK100">
        <f t="shared" si="197"/>
        <v>6.2815441508156766E-2</v>
      </c>
      <c r="AL100">
        <f t="shared" si="197"/>
        <v>5.5757207076753801E-2</v>
      </c>
      <c r="AM100">
        <f t="shared" si="197"/>
        <v>4.8429941914957864E-2</v>
      </c>
      <c r="AN100">
        <f t="shared" si="197"/>
        <v>4.1073533447316235E-2</v>
      </c>
      <c r="AO100">
        <f t="shared" si="197"/>
        <v>1.0087756642039203E-2</v>
      </c>
      <c r="AP100">
        <f t="shared" si="197"/>
        <v>-4.4850957687101678E-2</v>
      </c>
      <c r="AS100">
        <f t="shared" si="197"/>
        <v>-0.24613082519036411</v>
      </c>
      <c r="AT100">
        <f t="shared" si="197"/>
        <v>-0.28733090797725569</v>
      </c>
      <c r="AU100">
        <f t="shared" si="197"/>
        <v>-0.20135699275769892</v>
      </c>
      <c r="AV100">
        <f t="shared" si="197"/>
        <v>0</v>
      </c>
    </row>
    <row r="101" spans="1:48" x14ac:dyDescent="0.35">
      <c r="I101" s="4"/>
    </row>
    <row r="105" spans="1:48" x14ac:dyDescent="0.35">
      <c r="B105">
        <f>B94*B64</f>
        <v>1332.1388591346627</v>
      </c>
      <c r="C105">
        <f t="shared" ref="C105:M105" si="198">C94*C64</f>
        <v>1346.2520156103697</v>
      </c>
      <c r="D105">
        <f t="shared" si="198"/>
        <v>1151.8941360569831</v>
      </c>
      <c r="E105">
        <f t="shared" si="198"/>
        <v>1154.4939475766353</v>
      </c>
      <c r="F105">
        <f t="shared" si="198"/>
        <v>1012.8020165209557</v>
      </c>
      <c r="G105">
        <f t="shared" si="198"/>
        <v>950.66957540944611</v>
      </c>
      <c r="H105">
        <f t="shared" si="198"/>
        <v>949.5608706851441</v>
      </c>
      <c r="I105">
        <f t="shared" si="198"/>
        <v>1207.3644051940485</v>
      </c>
      <c r="J105">
        <f t="shared" si="198"/>
        <v>971.39569082878256</v>
      </c>
      <c r="K105">
        <f t="shared" si="198"/>
        <v>757.19107988990936</v>
      </c>
      <c r="L105">
        <f t="shared" si="198"/>
        <v>499.36121701762744</v>
      </c>
      <c r="M105">
        <f t="shared" si="198"/>
        <v>406.25345745010407</v>
      </c>
    </row>
    <row r="106" spans="1:48" x14ac:dyDescent="0.35">
      <c r="AN106" t="s">
        <v>127</v>
      </c>
      <c r="AO106">
        <v>1</v>
      </c>
    </row>
    <row r="107" spans="1:48" x14ac:dyDescent="0.35">
      <c r="AM107">
        <v>2</v>
      </c>
      <c r="AN107">
        <v>-1.2472000000000001</v>
      </c>
      <c r="AO107">
        <f>AN107*$Y$56^AM107</f>
        <v>-1.2472000000000001</v>
      </c>
    </row>
    <row r="108" spans="1:48" x14ac:dyDescent="0.35">
      <c r="AM108">
        <v>1</v>
      </c>
      <c r="AN108">
        <v>2.113</v>
      </c>
      <c r="AO108">
        <f t="shared" ref="AO108:AO109" si="199">AN108*$Y$56^AM108</f>
        <v>2.113</v>
      </c>
    </row>
    <row r="109" spans="1:48" x14ac:dyDescent="0.35">
      <c r="AM109">
        <v>0</v>
      </c>
      <c r="AN109">
        <v>-0.83620000000000005</v>
      </c>
      <c r="AO109">
        <f t="shared" si="199"/>
        <v>-0.83620000000000005</v>
      </c>
    </row>
    <row r="110" spans="1:48" x14ac:dyDescent="0.35">
      <c r="AO110">
        <f>SUM(AO107:AO109)</f>
        <v>2.9599999999999849E-2</v>
      </c>
    </row>
    <row r="112" spans="1:48" x14ac:dyDescent="0.35">
      <c r="B112">
        <v>1</v>
      </c>
    </row>
    <row r="113" spans="2:23" x14ac:dyDescent="0.35">
      <c r="B113">
        <v>2</v>
      </c>
    </row>
    <row r="114" spans="2:23" x14ac:dyDescent="0.35">
      <c r="B114">
        <f>B112-B113</f>
        <v>-1</v>
      </c>
    </row>
    <row r="116" spans="2:23" x14ac:dyDescent="0.35">
      <c r="B116">
        <f>1-0.4*(1-B80)*B114/100*B84/B82</f>
        <v>1.0034000000000001</v>
      </c>
    </row>
    <row r="123" spans="2:23" x14ac:dyDescent="0.35">
      <c r="W123">
        <v>1</v>
      </c>
    </row>
    <row r="124" spans="2:23" x14ac:dyDescent="0.35">
      <c r="U124">
        <v>2</v>
      </c>
      <c r="V124">
        <v>-1.0702</v>
      </c>
      <c r="W124">
        <f>V124*$W$123^U124</f>
        <v>-1.0702</v>
      </c>
    </row>
    <row r="125" spans="2:23" x14ac:dyDescent="0.35">
      <c r="U125">
        <v>1</v>
      </c>
      <c r="V125">
        <v>1.7950999999999999</v>
      </c>
      <c r="W125">
        <f>V125*$W$123^U125</f>
        <v>1.7950999999999999</v>
      </c>
    </row>
    <row r="126" spans="2:23" x14ac:dyDescent="0.35">
      <c r="U126">
        <v>0</v>
      </c>
      <c r="V126">
        <v>-0.65969999999999995</v>
      </c>
      <c r="W126">
        <f t="shared" ref="W126" si="200">V126*$W$123^U126</f>
        <v>-0.65969999999999995</v>
      </c>
    </row>
    <row r="127" spans="2:23" x14ac:dyDescent="0.35">
      <c r="W127">
        <f>SUM(W124:W126)</f>
        <v>6.5199999999999925E-2</v>
      </c>
    </row>
    <row r="154" spans="12:21" x14ac:dyDescent="0.35">
      <c r="M154">
        <v>80</v>
      </c>
      <c r="N154">
        <v>60</v>
      </c>
      <c r="O154">
        <v>40</v>
      </c>
      <c r="P154">
        <v>20</v>
      </c>
      <c r="Q154">
        <v>0</v>
      </c>
    </row>
    <row r="155" spans="12:21" x14ac:dyDescent="0.35">
      <c r="M155">
        <v>70</v>
      </c>
      <c r="N155">
        <v>74</v>
      </c>
      <c r="O155">
        <v>70</v>
      </c>
      <c r="P155">
        <v>48</v>
      </c>
      <c r="Q155">
        <v>-15</v>
      </c>
    </row>
    <row r="159" spans="12:21" x14ac:dyDescent="0.35">
      <c r="L159" t="s">
        <v>129</v>
      </c>
      <c r="M159">
        <v>80</v>
      </c>
      <c r="N159">
        <v>70</v>
      </c>
      <c r="O159">
        <v>60</v>
      </c>
      <c r="P159">
        <v>50</v>
      </c>
      <c r="Q159">
        <v>40</v>
      </c>
      <c r="R159" s="6">
        <v>30</v>
      </c>
      <c r="S159">
        <v>20</v>
      </c>
      <c r="T159">
        <v>10</v>
      </c>
      <c r="U159">
        <v>0</v>
      </c>
    </row>
    <row r="160" spans="12:21" x14ac:dyDescent="0.35">
      <c r="L160" t="s">
        <v>128</v>
      </c>
      <c r="M160">
        <v>70</v>
      </c>
      <c r="N160">
        <v>73</v>
      </c>
      <c r="O160">
        <v>74</v>
      </c>
      <c r="P160">
        <v>74</v>
      </c>
      <c r="Q160">
        <v>70</v>
      </c>
      <c r="R160" s="6">
        <v>62</v>
      </c>
      <c r="S160">
        <v>48</v>
      </c>
      <c r="T160">
        <v>20</v>
      </c>
      <c r="U160">
        <v>-15</v>
      </c>
    </row>
    <row r="161" spans="12:30" x14ac:dyDescent="0.35">
      <c r="L161" t="s">
        <v>131</v>
      </c>
      <c r="M161">
        <f>M159/$M$159</f>
        <v>1</v>
      </c>
      <c r="N161">
        <f t="shared" ref="N161:U161" si="201">N159/$M$159</f>
        <v>0.875</v>
      </c>
      <c r="O161">
        <f t="shared" si="201"/>
        <v>0.75</v>
      </c>
      <c r="P161">
        <f t="shared" si="201"/>
        <v>0.625</v>
      </c>
      <c r="Q161">
        <f t="shared" si="201"/>
        <v>0.5</v>
      </c>
      <c r="R161" s="6">
        <f t="shared" si="201"/>
        <v>0.375</v>
      </c>
      <c r="S161">
        <f t="shared" si="201"/>
        <v>0.25</v>
      </c>
      <c r="T161">
        <f t="shared" si="201"/>
        <v>0.125</v>
      </c>
      <c r="U161">
        <f t="shared" si="201"/>
        <v>0</v>
      </c>
    </row>
    <row r="162" spans="12:30" x14ac:dyDescent="0.35">
      <c r="L162" t="s">
        <v>130</v>
      </c>
      <c r="M162">
        <f>M160/$M$160</f>
        <v>1</v>
      </c>
      <c r="N162">
        <f t="shared" ref="N162:U162" si="202">N160/$M$160</f>
        <v>1.0428571428571429</v>
      </c>
      <c r="O162">
        <f t="shared" si="202"/>
        <v>1.0571428571428572</v>
      </c>
      <c r="P162">
        <f t="shared" si="202"/>
        <v>1.0571428571428572</v>
      </c>
      <c r="Q162">
        <f t="shared" si="202"/>
        <v>1</v>
      </c>
      <c r="R162" s="6">
        <f t="shared" si="202"/>
        <v>0.88571428571428568</v>
      </c>
      <c r="S162">
        <f t="shared" si="202"/>
        <v>0.68571428571428572</v>
      </c>
      <c r="T162">
        <f t="shared" si="202"/>
        <v>0.2857142857142857</v>
      </c>
      <c r="U162">
        <f t="shared" si="202"/>
        <v>-0.21428571428571427</v>
      </c>
    </row>
    <row r="164" spans="12:30" x14ac:dyDescent="0.35">
      <c r="S164">
        <v>480</v>
      </c>
    </row>
    <row r="165" spans="12:30" x14ac:dyDescent="0.35">
      <c r="S165">
        <f>S164/3.6</f>
        <v>133.33333333333334</v>
      </c>
    </row>
    <row r="167" spans="12:30" x14ac:dyDescent="0.35">
      <c r="S167">
        <f>S165*0.6</f>
        <v>80</v>
      </c>
    </row>
    <row r="171" spans="12:30" x14ac:dyDescent="0.35">
      <c r="AD171">
        <v>1</v>
      </c>
    </row>
    <row r="172" spans="12:30" x14ac:dyDescent="0.35">
      <c r="AB172">
        <v>3</v>
      </c>
      <c r="AC172">
        <v>2.2965</v>
      </c>
      <c r="AD172">
        <f>AC172*$AD$171^AB172</f>
        <v>2.2965</v>
      </c>
    </row>
    <row r="173" spans="12:30" x14ac:dyDescent="0.35">
      <c r="AB173">
        <v>2</v>
      </c>
      <c r="AC173">
        <v>-5.9154999999999998</v>
      </c>
      <c r="AD173">
        <f>AC173*$AD$171^AB173</f>
        <v>-5.9154999999999998</v>
      </c>
    </row>
    <row r="174" spans="12:30" x14ac:dyDescent="0.35">
      <c r="AB174">
        <v>1</v>
      </c>
      <c r="AC174">
        <v>4.8421000000000003</v>
      </c>
      <c r="AD174">
        <f>AC174*$AD$171^AB174</f>
        <v>4.8421000000000003</v>
      </c>
    </row>
    <row r="175" spans="12:30" x14ac:dyDescent="0.35">
      <c r="AB175">
        <v>0</v>
      </c>
      <c r="AC175">
        <v>-0.21629999999999999</v>
      </c>
      <c r="AD175">
        <f>AC175*$AD$171^AB175</f>
        <v>-0.21629999999999999</v>
      </c>
    </row>
    <row r="176" spans="12:30" x14ac:dyDescent="0.35">
      <c r="AD176">
        <f>SUM(AD172:AD175)</f>
        <v>1.0068000000000006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Brush" shapeId="1025" r:id="rId3">
          <objectPr defaultSize="0" autoPict="0" r:id="rId4">
            <anchor moveWithCells="1" sizeWithCells="1">
              <from>
                <xdr:col>10</xdr:col>
                <xdr:colOff>114300</xdr:colOff>
                <xdr:row>168</xdr:row>
                <xdr:rowOff>133350</xdr:rowOff>
              </from>
              <to>
                <xdr:col>19</xdr:col>
                <xdr:colOff>584200</xdr:colOff>
                <xdr:row>202</xdr:row>
                <xdr:rowOff>31750</xdr:rowOff>
              </to>
            </anchor>
          </objectPr>
        </oleObject>
      </mc:Choice>
      <mc:Fallback>
        <oleObject progId="PBrush" shapeId="1025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67E9C-E058-4529-B9FA-B8753B83F0AC}">
  <dimension ref="A1:Z69"/>
  <sheetViews>
    <sheetView workbookViewId="0">
      <pane xSplit="2" ySplit="2" topLeftCell="C27" activePane="bottomRight" state="frozen"/>
      <selection pane="topRight" activeCell="C1" sqref="C1"/>
      <selection pane="bottomLeft" activeCell="A3" sqref="A3"/>
      <selection pane="bottomRight" activeCell="C45" sqref="C45"/>
    </sheetView>
  </sheetViews>
  <sheetFormatPr defaultRowHeight="14.5" x14ac:dyDescent="0.35"/>
  <cols>
    <col min="2" max="2" width="31.90625" bestFit="1" customWidth="1"/>
  </cols>
  <sheetData>
    <row r="1" spans="1:26" x14ac:dyDescent="0.35">
      <c r="D1">
        <v>50</v>
      </c>
      <c r="L1">
        <v>75</v>
      </c>
      <c r="S1">
        <v>100</v>
      </c>
    </row>
    <row r="3" spans="1:26" x14ac:dyDescent="0.35">
      <c r="A3">
        <v>10</v>
      </c>
      <c r="B3" t="s">
        <v>50</v>
      </c>
    </row>
    <row r="4" spans="1:26" x14ac:dyDescent="0.35">
      <c r="B4" t="s">
        <v>63</v>
      </c>
      <c r="C4">
        <v>41.97</v>
      </c>
      <c r="D4">
        <v>42.97</v>
      </c>
      <c r="E4">
        <v>44.5</v>
      </c>
      <c r="F4">
        <v>44.44</v>
      </c>
      <c r="G4">
        <v>43.17</v>
      </c>
      <c r="H4">
        <v>41.42</v>
      </c>
      <c r="I4">
        <v>51.75</v>
      </c>
      <c r="J4">
        <v>53</v>
      </c>
      <c r="K4">
        <v>54.97</v>
      </c>
      <c r="L4">
        <v>54.61</v>
      </c>
      <c r="M4">
        <v>53.06</v>
      </c>
      <c r="N4">
        <v>50.92</v>
      </c>
      <c r="O4">
        <v>61.51</v>
      </c>
      <c r="P4">
        <v>61.36</v>
      </c>
      <c r="Q4">
        <v>62.88</v>
      </c>
      <c r="R4">
        <v>63.95</v>
      </c>
      <c r="S4">
        <v>65.14</v>
      </c>
      <c r="T4">
        <v>64.47</v>
      </c>
      <c r="U4">
        <v>64.400000000000006</v>
      </c>
      <c r="V4">
        <v>63.4</v>
      </c>
      <c r="W4">
        <v>62.63</v>
      </c>
      <c r="X4">
        <v>62.63</v>
      </c>
      <c r="Y4">
        <v>60.24</v>
      </c>
      <c r="Z4">
        <v>60.24</v>
      </c>
    </row>
    <row r="5" spans="1:26" x14ac:dyDescent="0.35">
      <c r="B5" t="s">
        <v>2</v>
      </c>
      <c r="C5">
        <v>5.1989999999999998</v>
      </c>
      <c r="D5">
        <v>5.3310000000000004</v>
      </c>
      <c r="E5">
        <v>5.5289999999999999</v>
      </c>
      <c r="F5">
        <v>5.53</v>
      </c>
      <c r="G5">
        <v>5.4039999999999999</v>
      </c>
      <c r="H5">
        <v>5.2460000000000004</v>
      </c>
      <c r="I5">
        <v>6.4009999999999998</v>
      </c>
      <c r="J5">
        <v>6.5640000000000001</v>
      </c>
      <c r="K5">
        <v>6.8209999999999997</v>
      </c>
      <c r="L5">
        <v>6.7889999999999997</v>
      </c>
      <c r="M5">
        <v>6.633</v>
      </c>
      <c r="N5">
        <v>6.4409999999999998</v>
      </c>
      <c r="O5">
        <v>7.4930000000000003</v>
      </c>
      <c r="P5">
        <v>7.48</v>
      </c>
      <c r="Q5">
        <v>7.6760000000000002</v>
      </c>
      <c r="R5">
        <v>7.8109999999999999</v>
      </c>
      <c r="S5">
        <v>7.9610000000000003</v>
      </c>
      <c r="T5">
        <v>7.8959999999999999</v>
      </c>
      <c r="U5">
        <v>7.8890000000000002</v>
      </c>
      <c r="V5">
        <v>7.8449999999999998</v>
      </c>
      <c r="W5">
        <v>7.7229999999999999</v>
      </c>
      <c r="X5">
        <v>7.7229999999999999</v>
      </c>
      <c r="Y5">
        <v>7.5170000000000003</v>
      </c>
      <c r="Z5">
        <v>7.5170000000000003</v>
      </c>
    </row>
    <row r="6" spans="1:26" x14ac:dyDescent="0.35">
      <c r="B6" t="s">
        <v>51</v>
      </c>
      <c r="C6">
        <v>492.2</v>
      </c>
      <c r="D6">
        <v>495</v>
      </c>
      <c r="E6">
        <v>499</v>
      </c>
      <c r="F6">
        <v>500.9</v>
      </c>
      <c r="G6">
        <v>507.8</v>
      </c>
      <c r="H6">
        <v>522.1</v>
      </c>
      <c r="I6">
        <v>497.9</v>
      </c>
      <c r="J6">
        <v>500.5</v>
      </c>
      <c r="K6">
        <v>504.1</v>
      </c>
      <c r="L6">
        <v>506.1</v>
      </c>
      <c r="M6">
        <v>513.1</v>
      </c>
      <c r="N6">
        <v>527.29999999999995</v>
      </c>
      <c r="O6">
        <v>493.8</v>
      </c>
      <c r="P6">
        <v>494.5</v>
      </c>
      <c r="Q6">
        <v>496.8</v>
      </c>
      <c r="R6">
        <v>498.2</v>
      </c>
      <c r="S6">
        <v>500</v>
      </c>
      <c r="T6">
        <v>502.2</v>
      </c>
      <c r="U6">
        <v>502.4</v>
      </c>
      <c r="V6">
        <v>508.6</v>
      </c>
      <c r="W6">
        <v>509.4</v>
      </c>
      <c r="X6">
        <v>509.4</v>
      </c>
      <c r="Y6">
        <v>524</v>
      </c>
      <c r="Z6">
        <v>524</v>
      </c>
    </row>
    <row r="7" spans="1:26" x14ac:dyDescent="0.35">
      <c r="A7">
        <v>11</v>
      </c>
      <c r="B7" t="s">
        <v>52</v>
      </c>
    </row>
    <row r="8" spans="1:26" x14ac:dyDescent="0.35">
      <c r="B8" t="s">
        <v>63</v>
      </c>
      <c r="C8">
        <v>10.57</v>
      </c>
      <c r="D8">
        <v>10.74</v>
      </c>
      <c r="E8">
        <v>11.04</v>
      </c>
      <c r="F8">
        <v>10.92</v>
      </c>
      <c r="G8">
        <v>10.17</v>
      </c>
      <c r="H8">
        <v>9.0299999999999994</v>
      </c>
      <c r="I8">
        <v>12.74</v>
      </c>
      <c r="J8">
        <v>12.87</v>
      </c>
      <c r="K8">
        <v>13.1</v>
      </c>
      <c r="L8">
        <v>12.88</v>
      </c>
      <c r="M8">
        <v>12.09</v>
      </c>
      <c r="N8">
        <v>10.85</v>
      </c>
      <c r="O8">
        <v>15.51</v>
      </c>
      <c r="P8">
        <v>15.42</v>
      </c>
      <c r="Q8">
        <v>15.59</v>
      </c>
      <c r="R8">
        <v>15.69</v>
      </c>
      <c r="S8">
        <v>15.78</v>
      </c>
      <c r="T8">
        <v>15.46</v>
      </c>
      <c r="U8">
        <v>15.43</v>
      </c>
      <c r="V8">
        <v>14.76</v>
      </c>
      <c r="W8">
        <v>14.49</v>
      </c>
      <c r="X8">
        <v>14.53</v>
      </c>
      <c r="Y8">
        <v>13</v>
      </c>
      <c r="Z8">
        <v>12.99</v>
      </c>
    </row>
    <row r="9" spans="1:26" x14ac:dyDescent="0.35">
      <c r="B9" t="s">
        <v>2</v>
      </c>
      <c r="C9">
        <v>0.4</v>
      </c>
      <c r="D9">
        <v>0.4</v>
      </c>
      <c r="E9">
        <v>0.4</v>
      </c>
      <c r="F9">
        <v>0.4</v>
      </c>
      <c r="G9">
        <v>0.4</v>
      </c>
      <c r="H9">
        <v>0.4</v>
      </c>
      <c r="I9">
        <v>0.48</v>
      </c>
      <c r="J9">
        <v>0.49</v>
      </c>
      <c r="K9">
        <v>0.50600000000000001</v>
      </c>
      <c r="L9">
        <v>0.503</v>
      </c>
      <c r="M9">
        <v>0.48799999999999999</v>
      </c>
      <c r="N9">
        <v>0.46800000000000003</v>
      </c>
      <c r="O9">
        <v>0.59799999999999998</v>
      </c>
      <c r="P9">
        <v>0.59599999999999997</v>
      </c>
      <c r="Q9">
        <v>0.60799999999999998</v>
      </c>
      <c r="R9">
        <v>0.61699999999999999</v>
      </c>
      <c r="S9">
        <v>0.627</v>
      </c>
      <c r="T9">
        <v>0.62</v>
      </c>
      <c r="U9">
        <v>0.61899999999999999</v>
      </c>
      <c r="V9">
        <v>0.61099999999999999</v>
      </c>
      <c r="W9">
        <v>0.60199999999999998</v>
      </c>
      <c r="X9">
        <v>0.60199999999999998</v>
      </c>
      <c r="Y9">
        <v>0.57799999999999996</v>
      </c>
      <c r="Z9">
        <v>0.57899999999999996</v>
      </c>
    </row>
    <row r="10" spans="1:26" x14ac:dyDescent="0.35">
      <c r="B10" t="s">
        <v>3</v>
      </c>
      <c r="C10">
        <v>199.4</v>
      </c>
      <c r="D10">
        <v>199.6</v>
      </c>
      <c r="E10">
        <v>199.8</v>
      </c>
      <c r="F10">
        <v>199.7</v>
      </c>
      <c r="G10">
        <v>199</v>
      </c>
      <c r="H10">
        <v>197.8</v>
      </c>
      <c r="I10">
        <v>204.7</v>
      </c>
      <c r="J10">
        <v>205.2</v>
      </c>
      <c r="K10">
        <v>206</v>
      </c>
      <c r="L10">
        <v>205.7</v>
      </c>
      <c r="M10">
        <v>204.4</v>
      </c>
      <c r="N10">
        <v>202.4</v>
      </c>
      <c r="O10">
        <v>210.3</v>
      </c>
      <c r="P10" t="s">
        <v>83</v>
      </c>
      <c r="Q10">
        <v>210.7</v>
      </c>
      <c r="R10">
        <v>211.1</v>
      </c>
      <c r="S10">
        <v>211.4</v>
      </c>
      <c r="T10">
        <v>210.8</v>
      </c>
      <c r="U10">
        <v>210.8</v>
      </c>
      <c r="V10">
        <v>209.8</v>
      </c>
      <c r="W10">
        <v>209.2</v>
      </c>
      <c r="X10">
        <v>209.2</v>
      </c>
      <c r="Y10">
        <v>206.5</v>
      </c>
      <c r="Z10">
        <v>206.5</v>
      </c>
    </row>
    <row r="11" spans="1:26" x14ac:dyDescent="0.35">
      <c r="A11">
        <v>12</v>
      </c>
      <c r="B11" t="s">
        <v>64</v>
      </c>
    </row>
    <row r="12" spans="1:26" x14ac:dyDescent="0.35">
      <c r="B12" t="s">
        <v>1</v>
      </c>
      <c r="C12">
        <v>52.33</v>
      </c>
      <c r="D12">
        <v>53.5</v>
      </c>
      <c r="E12">
        <v>55.33</v>
      </c>
      <c r="F12">
        <v>55.2</v>
      </c>
      <c r="G12">
        <v>53.14</v>
      </c>
      <c r="H12">
        <v>50.25</v>
      </c>
      <c r="I12">
        <v>64.25</v>
      </c>
      <c r="J12">
        <v>65.61</v>
      </c>
      <c r="K12">
        <v>67.81</v>
      </c>
      <c r="L12">
        <v>67.22</v>
      </c>
      <c r="M12">
        <v>64.89</v>
      </c>
      <c r="N12">
        <v>61.55</v>
      </c>
      <c r="O12">
        <v>76.72</v>
      </c>
      <c r="P12">
        <v>76.5</v>
      </c>
      <c r="Q12">
        <v>78.17</v>
      </c>
      <c r="R12">
        <v>79.33</v>
      </c>
      <c r="S12">
        <v>80.61</v>
      </c>
      <c r="T12">
        <v>79.62</v>
      </c>
      <c r="U12">
        <v>79.52</v>
      </c>
      <c r="V12">
        <v>78.16</v>
      </c>
      <c r="W12">
        <v>76.819999999999993</v>
      </c>
      <c r="X12">
        <v>76.86</v>
      </c>
      <c r="Y12">
        <v>72.94</v>
      </c>
      <c r="Z12">
        <v>72.94</v>
      </c>
    </row>
    <row r="13" spans="1:26" x14ac:dyDescent="0.35">
      <c r="B13" t="s">
        <v>2</v>
      </c>
      <c r="C13">
        <v>0.36</v>
      </c>
      <c r="D13">
        <v>0.36899999999999999</v>
      </c>
      <c r="E13">
        <v>0.38200000000000001</v>
      </c>
      <c r="F13">
        <v>0.38100000000000001</v>
      </c>
      <c r="G13">
        <v>0.36699999999999999</v>
      </c>
      <c r="H13">
        <v>0.35099999999999998</v>
      </c>
      <c r="I13">
        <v>0.442</v>
      </c>
      <c r="J13">
        <v>0.45200000000000001</v>
      </c>
      <c r="K13">
        <v>0.46800000000000003</v>
      </c>
      <c r="L13">
        <v>0.46500000000000002</v>
      </c>
      <c r="M13">
        <v>0.45</v>
      </c>
      <c r="N13">
        <v>0.43</v>
      </c>
      <c r="O13">
        <v>0.53600000000000003</v>
      </c>
      <c r="P13">
        <v>0.53400000000000003</v>
      </c>
      <c r="Q13">
        <v>0.54600000000000004</v>
      </c>
      <c r="R13">
        <v>0.55500000000000005</v>
      </c>
      <c r="S13">
        <v>0.56499999999999995</v>
      </c>
      <c r="T13">
        <v>0.55800000000000005</v>
      </c>
      <c r="U13">
        <v>0.55700000000000005</v>
      </c>
      <c r="V13">
        <v>0.54900000000000004</v>
      </c>
      <c r="W13">
        <v>0.54</v>
      </c>
      <c r="X13">
        <v>0.54</v>
      </c>
      <c r="Y13">
        <v>0.51600000000000001</v>
      </c>
      <c r="Z13">
        <v>0.51700000000000002</v>
      </c>
    </row>
    <row r="14" spans="1:26" x14ac:dyDescent="0.35">
      <c r="B14" t="s">
        <v>65</v>
      </c>
      <c r="C14">
        <v>191.9</v>
      </c>
      <c r="D14">
        <v>193.2</v>
      </c>
      <c r="E14">
        <v>195.2</v>
      </c>
      <c r="F14">
        <v>196</v>
      </c>
      <c r="G14">
        <v>196.1</v>
      </c>
      <c r="H14">
        <v>205.8</v>
      </c>
      <c r="I14">
        <v>191.7</v>
      </c>
      <c r="J14">
        <v>192.8</v>
      </c>
      <c r="K14">
        <v>194.4</v>
      </c>
      <c r="L14">
        <v>195.3</v>
      </c>
      <c r="M14">
        <v>198.3</v>
      </c>
      <c r="N14">
        <v>205.1</v>
      </c>
      <c r="O14">
        <v>191.6</v>
      </c>
      <c r="P14">
        <v>191.9</v>
      </c>
      <c r="Q14">
        <v>192.8</v>
      </c>
      <c r="R14">
        <v>193.3</v>
      </c>
      <c r="S14">
        <v>194.4</v>
      </c>
      <c r="T14">
        <v>195.1</v>
      </c>
      <c r="U14">
        <v>195.2</v>
      </c>
      <c r="V14">
        <v>197.8</v>
      </c>
      <c r="W14">
        <v>198</v>
      </c>
      <c r="X14">
        <v>198</v>
      </c>
      <c r="Y14">
        <v>204.7</v>
      </c>
      <c r="Z14">
        <v>204.6</v>
      </c>
    </row>
    <row r="15" spans="1:26" x14ac:dyDescent="0.35">
      <c r="A15">
        <v>13</v>
      </c>
      <c r="B15" t="s">
        <v>0</v>
      </c>
    </row>
    <row r="16" spans="1:26" x14ac:dyDescent="0.35">
      <c r="B16" t="s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35">
      <c r="B17" t="s">
        <v>2</v>
      </c>
      <c r="C17">
        <v>0.15</v>
      </c>
      <c r="D17">
        <v>0.15379999999999999</v>
      </c>
      <c r="E17">
        <v>0.1595</v>
      </c>
      <c r="F17">
        <v>0.15909999999999999</v>
      </c>
      <c r="G17">
        <v>0.153</v>
      </c>
      <c r="H17">
        <v>0.1469</v>
      </c>
      <c r="I17">
        <v>0.184</v>
      </c>
      <c r="J17">
        <v>0.189</v>
      </c>
      <c r="K17">
        <v>0.19500000000000001</v>
      </c>
      <c r="L17">
        <v>0.19400000000000001</v>
      </c>
      <c r="M17">
        <v>0.188</v>
      </c>
      <c r="N17">
        <v>0.18</v>
      </c>
      <c r="O17">
        <v>0.24829999999999999</v>
      </c>
      <c r="P17">
        <v>0.24759999999999999</v>
      </c>
      <c r="Q17">
        <v>0.25330000000000003</v>
      </c>
      <c r="R17">
        <v>0.25719999999999998</v>
      </c>
      <c r="S17">
        <v>0.2616</v>
      </c>
      <c r="T17">
        <v>0.25850000000000001</v>
      </c>
      <c r="U17">
        <v>0.25819999999999999</v>
      </c>
      <c r="V17">
        <v>0.25419999999999998</v>
      </c>
      <c r="W17">
        <v>0.25</v>
      </c>
      <c r="X17">
        <v>0.25019999999999998</v>
      </c>
      <c r="Y17">
        <v>0.2392</v>
      </c>
      <c r="Z17">
        <v>0.23980000000000001</v>
      </c>
    </row>
    <row r="18" spans="1:26" x14ac:dyDescent="0.35">
      <c r="B18" t="s">
        <v>3</v>
      </c>
      <c r="C18">
        <v>119.3</v>
      </c>
      <c r="D18">
        <v>120.4</v>
      </c>
      <c r="E18">
        <v>122.1</v>
      </c>
      <c r="F18">
        <v>122.9</v>
      </c>
      <c r="G18">
        <v>122.1</v>
      </c>
      <c r="H18">
        <v>131.6</v>
      </c>
      <c r="I18">
        <v>118.4</v>
      </c>
      <c r="J18">
        <v>119.3</v>
      </c>
      <c r="K18">
        <v>120.4</v>
      </c>
      <c r="L18">
        <v>121.1</v>
      </c>
      <c r="M18">
        <v>123.9</v>
      </c>
      <c r="N18">
        <v>129.9</v>
      </c>
      <c r="O18">
        <v>127.2</v>
      </c>
      <c r="P18">
        <v>127.1</v>
      </c>
      <c r="Q18">
        <v>127.8</v>
      </c>
      <c r="R18">
        <v>128.30000000000001</v>
      </c>
      <c r="S18">
        <v>128.9</v>
      </c>
      <c r="T18">
        <v>129</v>
      </c>
      <c r="U18">
        <v>129.19999999999999</v>
      </c>
      <c r="V18">
        <v>131.4</v>
      </c>
      <c r="W18">
        <v>131.6</v>
      </c>
      <c r="X18">
        <v>131.69999999999999</v>
      </c>
      <c r="Y18">
        <v>137.6</v>
      </c>
      <c r="Z18">
        <v>137.69999999999999</v>
      </c>
    </row>
    <row r="19" spans="1:26" x14ac:dyDescent="0.35">
      <c r="A19">
        <v>14</v>
      </c>
      <c r="B19" t="s">
        <v>4</v>
      </c>
    </row>
    <row r="20" spans="1:26" x14ac:dyDescent="0.35">
      <c r="B20" t="s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35">
      <c r="B21" t="s">
        <v>2</v>
      </c>
      <c r="C21">
        <v>6.4699999999999994E-2</v>
      </c>
      <c r="D21">
        <v>6.6299999999999998E-2</v>
      </c>
      <c r="E21">
        <v>6.88E-2</v>
      </c>
      <c r="F21">
        <v>6.8599999999999994E-2</v>
      </c>
      <c r="G21">
        <v>6.6000000000000003E-2</v>
      </c>
      <c r="H21">
        <v>6.4000000000000001E-2</v>
      </c>
      <c r="I21">
        <v>0.08</v>
      </c>
      <c r="J21">
        <v>8.2000000000000003E-2</v>
      </c>
      <c r="K21">
        <v>8.5000000000000006E-2</v>
      </c>
      <c r="L21">
        <v>8.4000000000000005E-2</v>
      </c>
      <c r="M21">
        <v>8.1000000000000003E-2</v>
      </c>
      <c r="N21">
        <v>7.9000000000000001E-2</v>
      </c>
      <c r="O21">
        <v>0.1492</v>
      </c>
      <c r="P21">
        <v>0.1487</v>
      </c>
      <c r="Q21">
        <v>0.1522</v>
      </c>
      <c r="R21">
        <v>0.15459999999999999</v>
      </c>
      <c r="S21">
        <v>0.15720000000000001</v>
      </c>
      <c r="T21">
        <v>0.15540000000000001</v>
      </c>
      <c r="U21">
        <v>0.1552</v>
      </c>
      <c r="V21">
        <v>0.1525</v>
      </c>
      <c r="W21">
        <v>0.15</v>
      </c>
      <c r="X21">
        <v>0.15029999999999999</v>
      </c>
      <c r="Y21">
        <v>0.14369999999999999</v>
      </c>
      <c r="Z21">
        <v>0.14460000000000001</v>
      </c>
    </row>
    <row r="22" spans="1:26" x14ac:dyDescent="0.35">
      <c r="B22" t="s">
        <v>3</v>
      </c>
      <c r="C22">
        <v>87.9</v>
      </c>
      <c r="D22">
        <v>88.5</v>
      </c>
      <c r="E22">
        <v>89.5</v>
      </c>
      <c r="F22">
        <v>89.4</v>
      </c>
      <c r="G22">
        <v>88.4</v>
      </c>
      <c r="H22">
        <v>87.6</v>
      </c>
      <c r="I22">
        <v>93.4</v>
      </c>
      <c r="J22">
        <v>94</v>
      </c>
      <c r="K22">
        <v>95</v>
      </c>
      <c r="L22">
        <v>94.8</v>
      </c>
      <c r="M22">
        <v>93.9</v>
      </c>
      <c r="N22">
        <v>93</v>
      </c>
      <c r="O22">
        <v>111.2</v>
      </c>
      <c r="P22">
        <v>111.1</v>
      </c>
      <c r="Q22">
        <v>111.8</v>
      </c>
      <c r="R22">
        <v>112.2</v>
      </c>
      <c r="S22">
        <v>112.8</v>
      </c>
      <c r="T22">
        <v>112.4</v>
      </c>
      <c r="U22">
        <v>112.4</v>
      </c>
      <c r="V22">
        <v>111.8</v>
      </c>
      <c r="W22">
        <v>111.3</v>
      </c>
      <c r="X22">
        <v>111.4</v>
      </c>
      <c r="Y22">
        <v>110.1</v>
      </c>
      <c r="Z22">
        <v>110.2</v>
      </c>
    </row>
    <row r="23" spans="1:26" x14ac:dyDescent="0.35">
      <c r="A23">
        <v>15</v>
      </c>
      <c r="B23" t="s">
        <v>5</v>
      </c>
    </row>
    <row r="24" spans="1:26" x14ac:dyDescent="0.35">
      <c r="B24" t="s">
        <v>1</v>
      </c>
      <c r="C24">
        <v>52.33</v>
      </c>
      <c r="D24">
        <v>53.5</v>
      </c>
      <c r="E24">
        <v>55.33</v>
      </c>
      <c r="F24">
        <v>55.17</v>
      </c>
      <c r="G24">
        <v>53.14</v>
      </c>
      <c r="H24">
        <v>50.25</v>
      </c>
      <c r="I24">
        <v>64.25</v>
      </c>
      <c r="J24">
        <v>65.61</v>
      </c>
      <c r="K24">
        <v>67.81</v>
      </c>
      <c r="L24">
        <v>67.22</v>
      </c>
      <c r="M24">
        <v>64.89</v>
      </c>
      <c r="N24">
        <v>61.55</v>
      </c>
      <c r="O24">
        <v>76.72</v>
      </c>
      <c r="P24">
        <v>76.5</v>
      </c>
      <c r="Q24">
        <v>78.17</v>
      </c>
      <c r="R24">
        <v>79.33</v>
      </c>
      <c r="S24">
        <v>80.61</v>
      </c>
      <c r="T24">
        <v>79.62</v>
      </c>
      <c r="U24">
        <v>79.52</v>
      </c>
      <c r="V24">
        <v>78.16</v>
      </c>
      <c r="W24">
        <v>76.819999999999993</v>
      </c>
      <c r="X24">
        <v>76.86</v>
      </c>
      <c r="Y24">
        <v>72.94</v>
      </c>
      <c r="Z24">
        <v>72.94</v>
      </c>
    </row>
    <row r="25" spans="1:26" x14ac:dyDescent="0.35">
      <c r="B25" t="s">
        <v>3</v>
      </c>
      <c r="C25">
        <v>87.9</v>
      </c>
      <c r="D25">
        <v>88.5</v>
      </c>
      <c r="E25">
        <v>89.5</v>
      </c>
      <c r="F25">
        <v>89.4</v>
      </c>
      <c r="G25">
        <v>88.5</v>
      </c>
      <c r="H25">
        <v>87.6</v>
      </c>
      <c r="I25">
        <v>93.4</v>
      </c>
      <c r="J25">
        <v>94</v>
      </c>
      <c r="K25">
        <v>95</v>
      </c>
      <c r="L25">
        <v>94.8</v>
      </c>
      <c r="M25">
        <v>93.9</v>
      </c>
      <c r="N25">
        <v>93</v>
      </c>
      <c r="O25">
        <v>111.2</v>
      </c>
      <c r="P25">
        <v>111.1</v>
      </c>
      <c r="Q25">
        <v>111.2</v>
      </c>
      <c r="R25">
        <v>112.2</v>
      </c>
      <c r="S25">
        <v>112.8</v>
      </c>
      <c r="T25">
        <v>112.4</v>
      </c>
      <c r="U25">
        <v>112.4</v>
      </c>
      <c r="V25">
        <v>111.8</v>
      </c>
      <c r="W25">
        <v>111.3</v>
      </c>
      <c r="X25">
        <v>111.4</v>
      </c>
      <c r="Y25">
        <v>110.1</v>
      </c>
      <c r="Z25">
        <v>110.2</v>
      </c>
    </row>
    <row r="26" spans="1:26" x14ac:dyDescent="0.35">
      <c r="B26" t="s">
        <v>66</v>
      </c>
      <c r="C26">
        <v>2.75</v>
      </c>
      <c r="D26">
        <f>2.72</f>
        <v>2.72</v>
      </c>
      <c r="E26">
        <f>2.68</f>
        <v>2.68</v>
      </c>
      <c r="F26">
        <f>2.61</f>
        <v>2.61</v>
      </c>
      <c r="G26">
        <f>2.62</f>
        <v>2.62</v>
      </c>
      <c r="H26">
        <f>1.63</f>
        <v>1.63</v>
      </c>
      <c r="I26">
        <f>3.5</f>
        <v>3.5</v>
      </c>
      <c r="J26">
        <f>3.5</f>
        <v>3.5</v>
      </c>
      <c r="K26">
        <f>3.5</f>
        <v>3.5</v>
      </c>
      <c r="L26">
        <f>3.37</f>
        <v>3.37</v>
      </c>
      <c r="M26">
        <f>3</f>
        <v>3</v>
      </c>
      <c r="N26">
        <f>2.37</f>
        <v>2.37</v>
      </c>
      <c r="O26">
        <f>2.39</f>
        <v>2.39</v>
      </c>
      <c r="P26">
        <f>2.36</f>
        <v>2.36</v>
      </c>
      <c r="Q26">
        <f>2.36</f>
        <v>2.36</v>
      </c>
      <c r="R26">
        <f>2.38</f>
        <v>2.38</v>
      </c>
      <c r="S26">
        <f>2.34</f>
        <v>2.34</v>
      </c>
      <c r="T26">
        <f>2.25</f>
        <v>2.25</v>
      </c>
      <c r="U26">
        <f>2.24</f>
        <v>2.2400000000000002</v>
      </c>
      <c r="V26">
        <f>1.89</f>
        <v>1.89</v>
      </c>
      <c r="W26">
        <f>1.9</f>
        <v>1.9</v>
      </c>
      <c r="X26">
        <f>1.9</f>
        <v>1.9</v>
      </c>
      <c r="Y26">
        <f>1.23</f>
        <v>1.23</v>
      </c>
      <c r="Z26">
        <f>1.2</f>
        <v>1.2</v>
      </c>
    </row>
    <row r="27" spans="1:26" x14ac:dyDescent="0.35">
      <c r="A27">
        <v>16</v>
      </c>
      <c r="B27" t="s">
        <v>67</v>
      </c>
    </row>
    <row r="28" spans="1:26" x14ac:dyDescent="0.35">
      <c r="B28" t="s">
        <v>1</v>
      </c>
      <c r="C28">
        <v>52.3</v>
      </c>
      <c r="D28">
        <v>53.5</v>
      </c>
      <c r="E28">
        <v>55.33</v>
      </c>
      <c r="F28">
        <v>55.17</v>
      </c>
      <c r="G28">
        <v>53.14</v>
      </c>
      <c r="H28">
        <v>50.25</v>
      </c>
      <c r="I28">
        <v>64.25</v>
      </c>
      <c r="J28">
        <v>65.61</v>
      </c>
      <c r="K28">
        <v>67.81</v>
      </c>
      <c r="L28">
        <v>67.22</v>
      </c>
      <c r="M28">
        <v>64.89</v>
      </c>
      <c r="N28">
        <v>61.55</v>
      </c>
      <c r="O28">
        <v>76.73</v>
      </c>
      <c r="P28">
        <v>76.489999999999995</v>
      </c>
      <c r="Q28">
        <v>78.17</v>
      </c>
      <c r="R28">
        <v>79.33</v>
      </c>
      <c r="S28">
        <v>80.61</v>
      </c>
      <c r="T28">
        <v>79.62</v>
      </c>
      <c r="U28">
        <v>79.52</v>
      </c>
      <c r="V28">
        <v>78.16</v>
      </c>
      <c r="W28">
        <v>76.819999999999993</v>
      </c>
      <c r="X28">
        <v>76.86</v>
      </c>
      <c r="Y28">
        <v>72.94</v>
      </c>
      <c r="Z28">
        <v>72.94</v>
      </c>
    </row>
    <row r="29" spans="1:26" x14ac:dyDescent="0.35">
      <c r="B29" t="s">
        <v>2</v>
      </c>
      <c r="C29">
        <v>4.7999999999999996E-3</v>
      </c>
      <c r="D29">
        <v>5.7000000000000002E-3</v>
      </c>
      <c r="E29">
        <v>6.6E-3</v>
      </c>
      <c r="F29">
        <v>7.3000000000000001E-3</v>
      </c>
      <c r="G29">
        <v>9.1999999999999998E-3</v>
      </c>
      <c r="H29">
        <v>1.47E-2</v>
      </c>
      <c r="I29">
        <v>6.0000000000000001E-3</v>
      </c>
      <c r="J29">
        <v>7.0000000000000001E-3</v>
      </c>
      <c r="K29">
        <v>8.0000000000000002E-3</v>
      </c>
      <c r="L29">
        <v>8.9999999999999993E-3</v>
      </c>
      <c r="M29">
        <v>1.0999999999999999E-2</v>
      </c>
      <c r="N29">
        <v>1.7000000000000001E-2</v>
      </c>
      <c r="O29">
        <v>7.0000000000000001E-3</v>
      </c>
      <c r="P29">
        <v>6.8999999999999999E-3</v>
      </c>
      <c r="Q29">
        <v>8.3999999999999995E-3</v>
      </c>
      <c r="R29">
        <v>8.5000000000000006E-3</v>
      </c>
      <c r="S29">
        <v>0.01</v>
      </c>
      <c r="T29">
        <v>1.06E-2</v>
      </c>
      <c r="U29">
        <v>1.06E-2</v>
      </c>
      <c r="V29">
        <v>8.0000000000000002E-3</v>
      </c>
      <c r="W29">
        <v>0.01</v>
      </c>
      <c r="X29">
        <v>1.32E-2</v>
      </c>
      <c r="Y29">
        <v>0.02</v>
      </c>
      <c r="Z29">
        <v>2.52E-2</v>
      </c>
    </row>
    <row r="30" spans="1:26" x14ac:dyDescent="0.35">
      <c r="B30" t="s">
        <v>66</v>
      </c>
      <c r="C30">
        <f>9.27</f>
        <v>9.27</v>
      </c>
      <c r="D30">
        <f>8.92</f>
        <v>8.92</v>
      </c>
      <c r="E30">
        <f>8.68</f>
        <v>8.68</v>
      </c>
      <c r="F30">
        <f>8.4</f>
        <v>8.4</v>
      </c>
      <c r="G30">
        <f>7.94</f>
        <v>7.94</v>
      </c>
      <c r="H30">
        <f>5.87</f>
        <v>5.87</v>
      </c>
      <c r="I30">
        <f>10</f>
        <v>10</v>
      </c>
      <c r="J30">
        <f>9.7</f>
        <v>9.6999999999999993</v>
      </c>
      <c r="K30">
        <f>9.5</f>
        <v>9.5</v>
      </c>
      <c r="L30">
        <f>9.2</f>
        <v>9.1999999999999993</v>
      </c>
      <c r="M30">
        <f>8.4</f>
        <v>8.4</v>
      </c>
      <c r="N30">
        <f>6.7</f>
        <v>6.7</v>
      </c>
      <c r="O30">
        <f>10.27</f>
        <v>10.27</v>
      </c>
      <c r="P30">
        <f>10.25</f>
        <v>10.25</v>
      </c>
      <c r="Q30">
        <f>10.04</f>
        <v>10.039999999999999</v>
      </c>
      <c r="R30">
        <f>9.95</f>
        <v>9.9499999999999993</v>
      </c>
      <c r="S30">
        <f>9.73</f>
        <v>9.73</v>
      </c>
      <c r="T30">
        <f>9.46</f>
        <v>9.4600000000000009</v>
      </c>
      <c r="U30">
        <f>9.45</f>
        <v>9.4499999999999993</v>
      </c>
      <c r="V30">
        <f>9.78</f>
        <v>9.7799999999999994</v>
      </c>
      <c r="W30">
        <f>9.2</f>
        <v>9.1999999999999993</v>
      </c>
      <c r="X30">
        <f>8.68</f>
        <v>8.68</v>
      </c>
      <c r="Y30">
        <f>7.1</f>
        <v>7.1</v>
      </c>
      <c r="Z30">
        <f>6.52</f>
        <v>6.52</v>
      </c>
    </row>
    <row r="31" spans="1:26" x14ac:dyDescent="0.35">
      <c r="O31" t="s">
        <v>84</v>
      </c>
      <c r="P31" t="s">
        <v>84</v>
      </c>
      <c r="Q31" t="s">
        <v>84</v>
      </c>
      <c r="R31" t="s">
        <v>84</v>
      </c>
      <c r="S31" t="s">
        <v>84</v>
      </c>
      <c r="T31" t="s">
        <v>84</v>
      </c>
      <c r="U31" t="s">
        <v>84</v>
      </c>
      <c r="V31" t="s">
        <v>84</v>
      </c>
      <c r="W31" t="s">
        <v>84</v>
      </c>
      <c r="X31" t="s">
        <v>84</v>
      </c>
      <c r="Y31" t="s">
        <v>84</v>
      </c>
      <c r="Z31" t="s">
        <v>84</v>
      </c>
    </row>
    <row r="32" spans="1:26" x14ac:dyDescent="0.35">
      <c r="B32" t="s">
        <v>68</v>
      </c>
      <c r="C32">
        <f>[1]!PropsSI("H","T",C6+273.15,"P",C5*10^6,"Water")/1000</f>
        <v>3414.0936824129262</v>
      </c>
      <c r="D32">
        <f>[1]!PropsSI("H","T",D6+273.15,"P",D5*10^6,"Water")/1000</f>
        <v>3419.1110348616726</v>
      </c>
      <c r="E32">
        <f>[1]!PropsSI("H","T",E6+273.15,"P",E5*10^6,"Water")/1000</f>
        <v>3426.215447531034</v>
      </c>
      <c r="F32">
        <f>[1]!PropsSI("H","T",F6+273.15,"P",F5*10^6,"Water")/1000</f>
        <v>3430.6810594860967</v>
      </c>
      <c r="G32">
        <f>[1]!PropsSI("H","T",G6+273.15,"P",G5*10^6,"Water")/1000</f>
        <v>3448.3317199181238</v>
      </c>
      <c r="H32">
        <f>[1]!PropsSI("H","T",H6+273.15,"P",H5*10^6,"Water")/1000</f>
        <v>3483.5075944401037</v>
      </c>
      <c r="I32">
        <f>[1]!PropsSI("H","T",I6+273.15,"P",I5*10^6,"Water")/1000</f>
        <v>3413.3997864009575</v>
      </c>
      <c r="J32">
        <f>[1]!PropsSI("H","T",J6+273.15,"P",J5*10^6,"Water")/1000</f>
        <v>3417.7283583381827</v>
      </c>
      <c r="K32">
        <f>[1]!PropsSI("H","T",K6+273.15,"P",K5*10^6,"Water")/1000</f>
        <v>3423.4076628690132</v>
      </c>
      <c r="L32">
        <f>[1]!PropsSI("H","T",L6+273.15,"P",L5*10^6,"Water")/1000</f>
        <v>3428.5996944727431</v>
      </c>
      <c r="M32">
        <f>[1]!PropsSI("H","T",M6+273.15,"P",M5*10^6,"Water")/1000</f>
        <v>3447.1858275049854</v>
      </c>
      <c r="N32">
        <f>[1]!PropsSI("H","T",N6+273.15,"P",N5*10^6,"Water")/1000</f>
        <v>3483.1658033234385</v>
      </c>
      <c r="O32">
        <f>[1]!PropsSI("H","T",O6+273.15,"P",O5*10^6,"Water")/1000</f>
        <v>3390.3304424251678</v>
      </c>
      <c r="P32">
        <f>[1]!PropsSI("H","T",P6+273.15,"P",P5*10^6,"Water")/1000</f>
        <v>3392.2096219003161</v>
      </c>
      <c r="Q32">
        <f>[1]!PropsSI("H","T",Q6+273.15,"P",Q5*10^6,"Water")/1000</f>
        <v>3395.4900334627305</v>
      </c>
      <c r="R32">
        <f>[1]!PropsSI("H","T",R6+273.15,"P",R5*10^6,"Water")/1000</f>
        <v>3397.3132280525983</v>
      </c>
      <c r="S32">
        <f>[1]!PropsSI("H","T",S6+273.15,"P",S5*10^6,"Water")/1000</f>
        <v>3399.9592891403095</v>
      </c>
      <c r="T32">
        <f>[1]!PropsSI("H","T",T6+273.15,"P",T5*10^6,"Water")/1000</f>
        <v>3406.1705083268293</v>
      </c>
      <c r="U32">
        <f>[1]!PropsSI("H","T",U6+273.15,"P",U5*10^6,"Water")/1000</f>
        <v>3406.7470047604315</v>
      </c>
      <c r="V32">
        <f>[1]!PropsSI("H","T",V6+273.15,"P",V5*10^6,"Water")/1000</f>
        <v>3422.525471918223</v>
      </c>
      <c r="W32">
        <f>[1]!PropsSI("H","T",W6+273.15,"P",W5*10^6,"Water")/1000</f>
        <v>3425.8928013035993</v>
      </c>
      <c r="X32">
        <f>[1]!PropsSI("H","T",X6+273.15,"P",X5*10^6,"Water")/1000</f>
        <v>3425.8928013035993</v>
      </c>
      <c r="Y32">
        <f>[1]!PropsSI("H","T",Y6+273.15,"P",Y5*10^6,"Water")/1000</f>
        <v>3463.7729518552123</v>
      </c>
      <c r="Z32">
        <f>[1]!PropsSI("H","T",Z6+273.15,"P",Z5*10^6,"Water")/1000</f>
        <v>3463.7729518552123</v>
      </c>
    </row>
    <row r="34" spans="2:26" x14ac:dyDescent="0.35">
      <c r="B34" t="s">
        <v>69</v>
      </c>
      <c r="C34">
        <f>[1]!PropsSI("H","T",C10+273.15,"P",C9*10^6,"Water")/1000</f>
        <v>2859.6691118398307</v>
      </c>
      <c r="D34">
        <f>[1]!PropsSI("H","T",D10+273.15,"P",D9*10^6,"Water")/1000</f>
        <v>2860.088650191512</v>
      </c>
      <c r="E34">
        <f>[1]!PropsSI("H","T",E10+273.15,"P",E9*10^6,"Water")/1000</f>
        <v>2860.5081249383179</v>
      </c>
      <c r="F34">
        <f>[1]!PropsSI("H","T",F10+273.15,"P",F9*10^6,"Water")/1000</f>
        <v>2860.298395494448</v>
      </c>
      <c r="G34">
        <f>[1]!PropsSI("H","T",G10+273.15,"P",G9*10^6,"Water")/1000</f>
        <v>2858.8298429671418</v>
      </c>
      <c r="H34">
        <f>[1]!PropsSI("H","T",H10+273.15,"P",H9*10^6,"Water")/1000</f>
        <v>2856.3104743064582</v>
      </c>
      <c r="I34">
        <f>[1]!PropsSI("H","T",I10+273.15,"P",I9*10^6,"Water")/1000</f>
        <v>2866.8701779004573</v>
      </c>
      <c r="J34">
        <f>[1]!PropsSI("H","T",J10+273.15,"P",J9*10^6,"Water")/1000</f>
        <v>2867.4418538997743</v>
      </c>
      <c r="K34">
        <f>[1]!PropsSI("H","T",K10+273.15,"P",K9*10^6,"Water")/1000</f>
        <v>2868.3621519748422</v>
      </c>
      <c r="L34">
        <f>[1]!PropsSI("H","T",L10+273.15,"P",L9*10^6,"Water")/1000</f>
        <v>2867.8692795759521</v>
      </c>
      <c r="M34">
        <f>[1]!PropsSI("H","T",M10+273.15,"P",M9*10^6,"Water")/1000</f>
        <v>2865.8381117872823</v>
      </c>
      <c r="N34">
        <f>[1]!PropsSI("H","T",N10+273.15,"P",N9*10^6,"Water")/1000</f>
        <v>2862.5812156897764</v>
      </c>
      <c r="O34">
        <f>[1]!PropsSI("H","T",O10+273.15,"P",O9*10^6,"Water")/1000</f>
        <v>2873.1375056932461</v>
      </c>
      <c r="P34">
        <f>[1]!PropsSI("H","T",P10+273.15,"P",P9*10^6,"Water")/1000</f>
        <v>2873.0174038724017</v>
      </c>
      <c r="Q34">
        <f>[1]!PropsSI("H","T",Q10+273.15,"P",Q9*10^6,"Water")/1000</f>
        <v>2873.5229527794008</v>
      </c>
      <c r="R34">
        <f>[1]!PropsSI("H","T",R10+273.15,"P",R9*10^6,"Water")/1000</f>
        <v>2873.9583102899155</v>
      </c>
      <c r="S34">
        <f>[1]!PropsSI("H","T",S10+273.15,"P",S9*10^6,"Water")/1000</f>
        <v>2874.1303541095044</v>
      </c>
      <c r="T34">
        <f>[1]!PropsSI("H","T",T10+273.15,"P",T9*10^6,"Water")/1000</f>
        <v>2873.1631650310483</v>
      </c>
      <c r="U34">
        <f>[1]!PropsSI("H","T",U10+273.15,"P",U9*10^6,"Water")/1000</f>
        <v>2873.2112588439263</v>
      </c>
      <c r="V34">
        <f>[1]!PropsSI("H","T",V10+273.15,"P",V9*10^6,"Water")/1000</f>
        <v>2871.4269447672918</v>
      </c>
      <c r="W34">
        <f>[1]!PropsSI("H","T",W10+273.15,"P",W9*10^6,"Water")/1000</f>
        <v>2870.5623662331886</v>
      </c>
      <c r="X34">
        <f>[1]!PropsSI("H","T",X10+273.15,"P",X9*10^6,"Water")/1000</f>
        <v>2870.5623662331886</v>
      </c>
      <c r="Y34">
        <f>[1]!PropsSI("H","T",Y10+273.15,"P",Y9*10^6,"Water")/1000</f>
        <v>2865.8928376731551</v>
      </c>
      <c r="Z34">
        <f>[1]!PropsSI("H","T",Z10+273.15,"P",Z9*10^6,"Water")/1000</f>
        <v>2865.8433103593825</v>
      </c>
    </row>
    <row r="36" spans="2:26" x14ac:dyDescent="0.35">
      <c r="B36" t="s">
        <v>70</v>
      </c>
      <c r="C36">
        <f>[1]!PropsSI("H","T",C14+273.15,"P",C13*10^6,"Water")/1000</f>
        <v>2846.0391045509723</v>
      </c>
      <c r="D36">
        <f>[1]!PropsSI("H","T",D14+273.15,"P",D13*10^6,"Water")/1000</f>
        <v>2848.2799186705533</v>
      </c>
      <c r="E36">
        <f>[1]!PropsSI("H","T",E14+273.15,"P",E13*10^6,"Water")/1000</f>
        <v>2851.7858417851976</v>
      </c>
      <c r="F36">
        <f>[1]!PropsSI("H","T",F14+273.15,"P",F13*10^6,"Water")/1000</f>
        <v>2853.5142561457455</v>
      </c>
      <c r="G36">
        <f>[1]!PropsSI("H","T",G14+273.15,"P",G13*10^6,"Water")/1000</f>
        <v>2854.4473849612614</v>
      </c>
      <c r="H36">
        <f>[1]!PropsSI("H","T",H14+273.15,"P",H13*10^6,"Water")/1000</f>
        <v>2875.3924895558066</v>
      </c>
      <c r="I36">
        <f>[1]!PropsSI("H","T",I14+273.15,"P",I13*10^6,"Water")/1000</f>
        <v>2841.1745645407345</v>
      </c>
      <c r="J36">
        <f>[1]!PropsSI("H","T",J14+273.15,"P",J13*10^6,"Water")/1000</f>
        <v>2842.9759448711088</v>
      </c>
      <c r="K36">
        <f>[1]!PropsSI("H","T",K14+273.15,"P",K13*10^6,"Water")/1000</f>
        <v>2845.5302967406042</v>
      </c>
      <c r="L36">
        <f>[1]!PropsSI("H","T",L14+273.15,"P",L13*10^6,"Water")/1000</f>
        <v>2847.6156985999764</v>
      </c>
      <c r="M36">
        <f>[1]!PropsSI("H","T",M14+273.15,"P",M13*10^6,"Water")/1000</f>
        <v>2854.7924384670641</v>
      </c>
      <c r="N36">
        <f>[1]!PropsSI("H","T",N14+273.15,"P",N13*10^6,"Water")/1000</f>
        <v>2870.1548432811865</v>
      </c>
      <c r="O36">
        <f>[1]!PropsSI("H","T",O14+273.15,"P",O13*10^6,"Water")/1000</f>
        <v>2835.7289538722171</v>
      </c>
      <c r="P36">
        <f>[1]!PropsSI("H","T",P14+273.15,"P",P13*10^6,"Water")/1000</f>
        <v>2836.4965788352215</v>
      </c>
      <c r="Q36">
        <f>[1]!PropsSI("H","T",Q14+273.15,"P",Q13*10^6,"Water")/1000</f>
        <v>2837.7894281519393</v>
      </c>
      <c r="R36">
        <f>[1]!PropsSI("H","T",R14+273.15,"P",R13*10^6,"Water")/1000</f>
        <v>2838.3806061067994</v>
      </c>
      <c r="S36">
        <f>[1]!PropsSI("H","T",S14+273.15,"P",S13*10^6,"Water")/1000</f>
        <v>2840.2343835937672</v>
      </c>
      <c r="T36">
        <f>[1]!PropsSI("H","T",T14+273.15,"P",T13*10^6,"Water")/1000</f>
        <v>2842.1518933088296</v>
      </c>
      <c r="U36">
        <f>[1]!PropsSI("H","T",U14+273.15,"P",U13*10^6,"Water")/1000</f>
        <v>2842.4252047960645</v>
      </c>
      <c r="V36">
        <f>[1]!PropsSI("H","T",V14+273.15,"P",V13*10^6,"Water")/1000</f>
        <v>2848.5216025782688</v>
      </c>
      <c r="W36">
        <f>[1]!PropsSI("H","T",W14+273.15,"P",W13*10^6,"Water")/1000</f>
        <v>2849.4343877059005</v>
      </c>
      <c r="X36">
        <f>[1]!PropsSI("H","T",X14+273.15,"P",X13*10^6,"Water")/1000</f>
        <v>2849.4343877059005</v>
      </c>
      <c r="Y36">
        <f>[1]!PropsSI("H","T",Y14+273.15,"P",Y13*10^6,"Water")/1000</f>
        <v>2865.092449213374</v>
      </c>
      <c r="Z36">
        <f>[1]!PropsSI("H","T",Z14+273.15,"P",Z13*10^6,"Water")/1000</f>
        <v>2864.8288037388534</v>
      </c>
    </row>
    <row r="38" spans="2:26" x14ac:dyDescent="0.35">
      <c r="B38" t="s">
        <v>71</v>
      </c>
      <c r="C38">
        <f>[1]!PropsSI("H","T",C18+273.15,"P",C17*10^6,"Water")/1000</f>
        <v>2709.8865945447133</v>
      </c>
      <c r="D38">
        <f>[1]!PropsSI("H","T",D18+273.15,"P",D17*10^6,"Water")/1000</f>
        <v>2711.7769085724917</v>
      </c>
      <c r="E38">
        <f>[1]!PropsSI("H","T",E18+273.15,"P",E17*10^6,"Water")/1000</f>
        <v>2714.7299691306707</v>
      </c>
      <c r="F38">
        <f>[1]!PropsSI("H","T",F18+273.15,"P",F17*10^6,"Water")/1000</f>
        <v>2716.4485742152665</v>
      </c>
      <c r="G38">
        <f>[1]!PropsSI("H","T",G18+273.15,"P",G17*10^6,"Water")/1000</f>
        <v>2715.4174040630851</v>
      </c>
      <c r="H38">
        <f>[1]!PropsSI("H","T",H18+273.15,"P",H17*10^6,"Water")/1000</f>
        <v>2735.6761744385612</v>
      </c>
      <c r="I38">
        <f>[1]!PropsSI("H","T",I18+273.15,"P",I17*10^6,"Water")/1000</f>
        <v>2704.1524547242061</v>
      </c>
      <c r="J38">
        <f>[1]!PropsSI("H","T",J18+273.15,"P",J17*10^6,"Water")/1000</f>
        <v>2705.5198034890777</v>
      </c>
      <c r="K38">
        <f>[1]!PropsSI("H","T",K18+273.15,"P",K17*10^6,"Water")/1000</f>
        <v>2707.2149384804129</v>
      </c>
      <c r="L38">
        <f>[1]!PropsSI("H","T",L18+273.15,"P",L17*10^6,"Water")/1000</f>
        <v>2708.8423288003542</v>
      </c>
      <c r="M38">
        <f>[1]!PropsSI("H","T",M18+273.15,"P",M17*10^6,"Water")/1000</f>
        <v>2715.5088724879338</v>
      </c>
      <c r="N38">
        <f>[1]!PropsSI("H","T",N18+273.15,"P",N17*10^6,"Water")/1000</f>
        <v>2729.0121469959981</v>
      </c>
      <c r="O38">
        <f>[1]!PropsSI("H","T",O18+273.15,"P",O17*10^6,"Water")/1000</f>
        <v>2716.2048080580698</v>
      </c>
      <c r="P38">
        <f>[1]!PropsSI("H","T",P18+273.15,"P",P17*10^6,"Water")/1000</f>
        <v>2716.0589890005158</v>
      </c>
      <c r="Q38">
        <f>[1]!PropsSI("H","T",Q18+273.15,"P",Q17*10^6,"Water")/1000</f>
        <v>537.00145766431888</v>
      </c>
      <c r="R38">
        <f>[1]!PropsSI("H","T",R18+273.15,"P",R17*10^6,"Water")/1000</f>
        <v>539.13299380731746</v>
      </c>
      <c r="S38">
        <f>[1]!PropsSI("H","T",S18+273.15,"P",S17*10^6,"Water")/1000</f>
        <v>541.69126607803025</v>
      </c>
      <c r="T38">
        <f>[1]!PropsSI("H","T",T18+273.15,"P",T17*10^6,"Water")/1000</f>
        <v>2719.1060194349493</v>
      </c>
      <c r="U38">
        <f>[1]!PropsSI("H","T",U18+273.15,"P",U17*10^6,"Water")/1000</f>
        <v>2719.5827272052361</v>
      </c>
      <c r="V38">
        <f>[1]!PropsSI("H","T",V18+273.15,"P",V17*10^6,"Water")/1000</f>
        <v>2724.8615334140964</v>
      </c>
      <c r="W38">
        <f>[1]!PropsSI("H","T",W18+273.15,"P",W17*10^6,"Water")/1000</f>
        <v>2725.726881592223</v>
      </c>
      <c r="X38">
        <f>[1]!PropsSI("H","T",X18+273.15,"P",X17*10^6,"Water")/1000</f>
        <v>2725.9256810163201</v>
      </c>
      <c r="Y38">
        <f>[1]!PropsSI("H","T",Y18+273.15,"P",Y17*10^6,"Water")/1000</f>
        <v>2739.7581180783222</v>
      </c>
      <c r="Z38">
        <f>[1]!PropsSI("H","T",Z18+273.15,"P",Z17*10^6,"Water")/1000</f>
        <v>2739.9174319711183</v>
      </c>
    </row>
    <row r="39" spans="2:26" x14ac:dyDescent="0.35">
      <c r="B39" t="s">
        <v>72</v>
      </c>
      <c r="C39">
        <f>C18 - ([1]!PropsSI("T","Q",0,"P",C17*10^6,"Water")-273.15)</f>
        <v>7.9506210992273481</v>
      </c>
      <c r="D39">
        <f>D18 - ([1]!PropsSI("T","Q",0,"P",D17*10^6,"Water")-273.15)</f>
        <v>8.2981663974760238</v>
      </c>
      <c r="E39">
        <f>E18 - ([1]!PropsSI("T","Q",0,"P",E17*10^6,"Water")-273.15)</f>
        <v>8.8976158404407499</v>
      </c>
      <c r="F39">
        <f>F18 - ([1]!PropsSI("T","Q",0,"P",F17*10^6,"Water")-273.15)</f>
        <v>9.7737850991997277</v>
      </c>
      <c r="G39">
        <f>G18 - ([1]!PropsSI("T","Q",0,"P",G17*10^6,"Water")-273.15)</f>
        <v>10.155298657210636</v>
      </c>
      <c r="H39">
        <f>H18 - ([1]!PropsSI("T","Q",0,"P",H17*10^6,"Water")-273.15)</f>
        <v>20.876154744344575</v>
      </c>
      <c r="I39">
        <f>I18 - ([1]!PropsSI("T","Q",0,"P",I17*10^6,"Water")-273.15)</f>
        <v>0.80579211475910029</v>
      </c>
      <c r="J39">
        <f>J18 - ([1]!PropsSI("T","Q",0,"P",J17*10^6,"Water")-273.15)</f>
        <v>0.86899534337213424</v>
      </c>
      <c r="K39">
        <f>K18 - ([1]!PropsSI("T","Q",0,"P",K17*10^6,"Water")-273.15)</f>
        <v>0.98840584735737025</v>
      </c>
      <c r="L39">
        <f>L18 - ([1]!PropsSI("T","Q",0,"P",L17*10^6,"Water")-273.15)</f>
        <v>1.8501088804770518</v>
      </c>
      <c r="M39">
        <f>M18 - ([1]!PropsSI("T","Q",0,"P",M17*10^6,"Water")-273.15)</f>
        <v>5.6348938881303923</v>
      </c>
      <c r="N39">
        <f>N18 - ([1]!PropsSI("T","Q",0,"P",N17*10^6,"Water")-273.15)</f>
        <v>12.98873102022489</v>
      </c>
      <c r="O39">
        <f>O18 - ([1]!PropsSI("T","Q",0,"P",O17*10^6,"Water")-273.15)</f>
        <v>1.3247736461167392E-2</v>
      </c>
      <c r="P39">
        <f>P18 - ([1]!PropsSI("T","Q",0,"P",P17*10^6,"Water")-273.15)</f>
        <v>6.1159772472763052E-3</v>
      </c>
      <c r="Q39">
        <f>Q18 - ([1]!PropsSI("T","Q",0,"P",Q17*10^6,"Water")-273.15)</f>
        <v>-4.3978603282894824E-2</v>
      </c>
      <c r="R39">
        <f>R18 - ([1]!PropsSI("T","Q",0,"P",R17*10^6,"Water")-273.15)</f>
        <v>-4.9335295598496032E-2</v>
      </c>
      <c r="S39">
        <f>S18 - ([1]!PropsSI("T","Q",0,"P",S17*10^6,"Water")-273.15)</f>
        <v>-1.2062255780136866E-2</v>
      </c>
      <c r="T39">
        <f>T18 - ([1]!PropsSI("T","Q",0,"P",T17*10^6,"Water")-273.15)</f>
        <v>0.48359585117003689</v>
      </c>
      <c r="U39">
        <f>U18 - ([1]!PropsSI("T","Q",0,"P",U17*10^6,"Water")-273.15)</f>
        <v>0.7220895231941995</v>
      </c>
      <c r="V39">
        <f>V18 - ([1]!PropsSI("T","Q",0,"P",V17*10^6,"Water")-273.15)</f>
        <v>3.4388423888838986</v>
      </c>
      <c r="W39">
        <f>W18 - ([1]!PropsSI("T","Q",0,"P",W17*10^6,"Water")-273.15)</f>
        <v>4.1885935262042437</v>
      </c>
      <c r="X39">
        <f>X18 - ([1]!PropsSI("T","Q",0,"P",X17*10^6,"Water")-273.15)</f>
        <v>4.2622453307585033</v>
      </c>
      <c r="Y39">
        <f>Y18 - ([1]!PropsSI("T","Q",0,"P",Y17*10^6,"Water")-273.15)</f>
        <v>11.63752872276595</v>
      </c>
      <c r="Z39">
        <f>Z18 - ([1]!PropsSI("T","Q",0,"P",Z17*10^6,"Water")-273.15)</f>
        <v>11.65565067167114</v>
      </c>
    </row>
    <row r="41" spans="2:26" x14ac:dyDescent="0.35">
      <c r="B41" t="s">
        <v>73</v>
      </c>
      <c r="C41">
        <f>[1]!PropsSI("H","T",C22+273.15,"P",C21*10^6,"Water")/1000</f>
        <v>2656.1097060673692</v>
      </c>
      <c r="D41">
        <f>[1]!PropsSI("H","T",D22+273.15,"P",D21*10^6,"Water")/1000</f>
        <v>370.72950507159095</v>
      </c>
      <c r="E41">
        <f>[1]!PropsSI("H","T",E22+273.15,"P",E21*10^6,"Water")/1000</f>
        <v>2658.7242793399196</v>
      </c>
      <c r="F41">
        <f>[1]!PropsSI("H","T",F22+273.15,"P",F21*10^6,"Water")/1000</f>
        <v>374.51516400332605</v>
      </c>
      <c r="G41">
        <f>[1]!PropsSI("H","T",G22+273.15,"P",G21*10^6,"Water")/1000</f>
        <v>2656.9215096914595</v>
      </c>
      <c r="H41">
        <f>[1]!PropsSI("H","T",H22+273.15,"P",H21*10^6,"Water")/1000</f>
        <v>2655.6108587792123</v>
      </c>
      <c r="I41">
        <f>[1]!PropsSI("H","T",I22+273.15,"P",I21*10^6,"Water")/1000</f>
        <v>391.35042212178661</v>
      </c>
      <c r="J41">
        <f>[1]!PropsSI("H","T",J22+273.15,"P",J21*10^6,"Water")/1000</f>
        <v>393.87727877475322</v>
      </c>
      <c r="K41">
        <f>[1]!PropsSI("H","T",K22+273.15,"P",K21*10^6,"Water")/1000</f>
        <v>398.08926211764475</v>
      </c>
      <c r="L41">
        <f>[1]!PropsSI("H","T",L22+273.15,"P",L21*10^6,"Water")/1000</f>
        <v>397.24647832503075</v>
      </c>
      <c r="M41">
        <f>[1]!PropsSI("H","T",M22+273.15,"P",M21*10^6,"Water")/1000</f>
        <v>2665.8815467094801</v>
      </c>
      <c r="N41">
        <f>[1]!PropsSI("H","T",N22+273.15,"P",N21*10^6,"Water")/1000</f>
        <v>389.66630636727666</v>
      </c>
      <c r="O41">
        <f>[1]!PropsSI("H","T",O22+273.15,"P",O21*10^6,"Water")/1000</f>
        <v>2692.8865900908991</v>
      </c>
      <c r="P41">
        <f>[1]!PropsSI("H","T",P22+273.15,"P",P21*10^6,"Water")/1000</f>
        <v>2692.735767504204</v>
      </c>
      <c r="Q41">
        <f>[1]!PropsSI("H","T",Q22+273.15,"P",Q21*10^6,"Water")/1000</f>
        <v>2693.7937531286616</v>
      </c>
      <c r="R41">
        <f>[1]!PropsSI("H","T",R22+273.15,"P",R21*10^6,"Water")/1000</f>
        <v>470.72904931122554</v>
      </c>
      <c r="S41">
        <f>[1]!PropsSI("H","T",S22+273.15,"P",S21*10^6,"Water")/1000</f>
        <v>2695.3140893552791</v>
      </c>
      <c r="T41">
        <f>[1]!PropsSI("H","T",T22+273.15,"P",T21*10^6,"Water")/1000</f>
        <v>471.57594427693141</v>
      </c>
      <c r="U41">
        <f>[1]!PropsSI("H","T",U22+273.15,"P",U21*10^6,"Water")/1000</f>
        <v>2694.7047045070717</v>
      </c>
      <c r="V41">
        <f>[1]!PropsSI("H","T",V22+273.15,"P",V21*10^6,"Water")/1000</f>
        <v>469.03506993492726</v>
      </c>
      <c r="W41">
        <f>[1]!PropsSI("H","T",W22+273.15,"P",W21*10^6,"Water")/1000</f>
        <v>466.91800556943764</v>
      </c>
      <c r="X41">
        <f>[1]!PropsSI("H","T",X22+273.15,"P",X21*10^6,"Water")/1000</f>
        <v>467.34124533303918</v>
      </c>
      <c r="Y41">
        <f>[1]!PropsSI("H","T",Y22+273.15,"P",Y21*10^6,"Water")/1000</f>
        <v>2691.2334360283794</v>
      </c>
      <c r="Z41">
        <f>[1]!PropsSI("H","T",Z22+273.15,"P",Z21*10^6,"Water")/1000</f>
        <v>462.26177136439077</v>
      </c>
    </row>
    <row r="42" spans="2:26" x14ac:dyDescent="0.35">
      <c r="B42" t="s">
        <v>72</v>
      </c>
      <c r="C42">
        <f>C22 - ([1]!PropsSI("T","Q",0,"P",C21*10^6,"Water")-273.15)</f>
        <v>2.6966486219947683E-2</v>
      </c>
      <c r="D42">
        <f>D22 - ([1]!PropsSI("T","Q",0,"P",D21*10^6,"Water")-273.15)</f>
        <v>-8.9150316320001366E-3</v>
      </c>
      <c r="E42">
        <f>E22 - ([1]!PropsSI("T","Q",0,"P",E21*10^6,"Water")-273.15)</f>
        <v>2.2700643263078746E-2</v>
      </c>
      <c r="F42">
        <f>F22 - ([1]!PropsSI("T","Q",0,"P",F21*10^6,"Water")-273.15)</f>
        <v>-9.18649094870716E-4</v>
      </c>
      <c r="G42">
        <f>G22 - ([1]!PropsSI("T","Q",0,"P",G21*10^6,"Water")-273.15)</f>
        <v>9.3296232413706548E-3</v>
      </c>
      <c r="H42">
        <f>H22 - ([1]!PropsSI("T","Q",0,"P",H21*10^6,"Water")-273.15)</f>
        <v>9.3009745081360506E-3</v>
      </c>
      <c r="I42">
        <f>I22 - ([1]!PropsSI("T","Q",0,"P",I21*10^6,"Water")-273.15)</f>
        <v>-8.5536319055023569E-2</v>
      </c>
      <c r="J42">
        <f>J22 - ([1]!PropsSI("T","Q",0,"P",J21*10^6,"Water")-273.15)</f>
        <v>-0.15146829281144392</v>
      </c>
      <c r="K42">
        <f>K22 - ([1]!PropsSI("T","Q",0,"P",K21*10^6,"Water")-273.15)</f>
        <v>-0.12548298710800054</v>
      </c>
      <c r="L42">
        <f>L22 - ([1]!PropsSI("T","Q",0,"P",L21*10^6,"Water")-273.15)</f>
        <v>-4.0311938682435766E-3</v>
      </c>
      <c r="M42">
        <f>M22 - ([1]!PropsSI("T","Q",0,"P",M21*10^6,"Water")-273.15)</f>
        <v>7.9788521004644508E-2</v>
      </c>
      <c r="N42">
        <f>N22 - ([1]!PropsSI("T","Q",0,"P",N21*10^6,"Water")-273.15)</f>
        <v>-0.14736332244757477</v>
      </c>
      <c r="O42">
        <f>O22 - ([1]!PropsSI("T","Q",0,"P",O21*10^6,"Water")-273.15)</f>
        <v>1.1024632616184249E-2</v>
      </c>
      <c r="P42">
        <f>P22 - ([1]!PropsSI("T","Q",0,"P",P21*10^6,"Water")-273.15)</f>
        <v>1.163606814171203E-2</v>
      </c>
      <c r="Q42">
        <f>Q22 - ([1]!PropsSI("T","Q",0,"P",Q21*10^6,"Water")-273.15)</f>
        <v>1.310713333946012E-2</v>
      </c>
      <c r="R42">
        <f>R22 - ([1]!PropsSI("T","Q",0,"P",R21*10^6,"Water")-273.15)</f>
        <v>-5.8296109430656884E-2</v>
      </c>
      <c r="S42">
        <f>S22 - ([1]!PropsSI("T","Q",0,"P",S21*10^6,"Water")-273.15)</f>
        <v>3.7749885158561369E-2</v>
      </c>
      <c r="T42">
        <f>T22 - ([1]!PropsSI("T","Q",0,"P",T21*10^6,"Water")-273.15)</f>
        <v>-1.4095231983873191E-2</v>
      </c>
      <c r="U42">
        <f>U22 - ([1]!PropsSI("T","Q",0,"P",U21*10^6,"Water")-273.15)</f>
        <v>2.4792701125107897E-2</v>
      </c>
      <c r="V42">
        <f>V22 - ([1]!PropsSI("T","Q",0,"P",V21*10^6,"Water")-273.15)</f>
        <v>-4.6150703620767786E-2</v>
      </c>
      <c r="W42">
        <f>W22 - ([1]!PropsSI("T","Q",0,"P",W21*10^6,"Water")-273.15)</f>
        <v>-4.9378900772651946E-2</v>
      </c>
      <c r="X42">
        <f>X22 - ([1]!PropsSI("T","Q",0,"P",X21*10^6,"Water")-273.15)</f>
        <v>-9.3490432819578473E-3</v>
      </c>
      <c r="Y42">
        <f>Y22 - ([1]!PropsSI("T","Q",0,"P",Y21*10^6,"Water")-273.15)</f>
        <v>3.3353097751586347E-2</v>
      </c>
      <c r="Z42">
        <f>Z22 - ([1]!PropsSI("T","Q",0,"P",Z21*10^6,"Water")-273.15)</f>
        <v>-5.2690252559713713E-2</v>
      </c>
    </row>
    <row r="44" spans="2:26" x14ac:dyDescent="0.35">
      <c r="B44" t="s">
        <v>74</v>
      </c>
      <c r="C44">
        <f>[1]!PropsSI("H","Q",1-C26/100,"T",C25+273.15,"Water")/1000</f>
        <v>2593.1819450430053</v>
      </c>
      <c r="D44">
        <f>[1]!PropsSI("H","Q",1-D26/100,"T",D25+273.15,"Water")/1000</f>
        <v>2594.8926109753197</v>
      </c>
      <c r="E44">
        <f>[1]!PropsSI("H","Q",1-E26/100,"T",E25+273.15,"Water")/1000</f>
        <v>2597.5096954704873</v>
      </c>
      <c r="F44">
        <f>[1]!PropsSI("H","Q",1-F26/100,"T",F25+273.15,"Water")/1000</f>
        <v>2598.9384703786586</v>
      </c>
      <c r="G44">
        <f>[1]!PropsSI("H","Q",1-G26/100,"T",G25+273.15,"Water")/1000</f>
        <v>2597.1789628703787</v>
      </c>
      <c r="H44">
        <f>[1]!PropsSI("H","Q",1-H26/100,"T",H25+273.15,"Water")/1000</f>
        <v>2618.3019860503568</v>
      </c>
      <c r="I44">
        <f>[1]!PropsSI("H","Q",1-I26/100,"T",I25+273.15,"Water")/1000</f>
        <v>2585.4612394434348</v>
      </c>
      <c r="J44">
        <f>[1]!PropsSI("H","Q",1-J26/100,"T",J25+273.15,"Water")/1000</f>
        <v>2586.4823657805773</v>
      </c>
      <c r="K44">
        <f>[1]!PropsSI("H","Q",1-K26/100,"T",K25+273.15,"Water")/1000</f>
        <v>2588.1803833112126</v>
      </c>
      <c r="L44">
        <f>[1]!PropsSI("H","Q",1-L26/100,"T",L25+273.15,"Water")/1000</f>
        <v>2590.7922286250619</v>
      </c>
      <c r="M44">
        <f>[1]!PropsSI("H","Q",1-M26/100,"T",M25+273.15,"Water")/1000</f>
        <v>2597.6742488756126</v>
      </c>
      <c r="N44">
        <f>[1]!PropsSI("H","Q",1-N26/100,"T",N25+273.15,"Water")/1000</f>
        <v>2610.4839715625935</v>
      </c>
      <c r="O44">
        <f>[1]!PropsSI("H","Q",1-O26/100,"T",O25+273.15,"Water")/1000</f>
        <v>2639.6691619841622</v>
      </c>
      <c r="P44">
        <f>[1]!PropsSI("H","Q",1-P26/100,"T",P25+273.15,"Water")/1000</f>
        <v>2640.1794668669636</v>
      </c>
      <c r="Q44">
        <f>[1]!PropsSI("H","Q",1-Q26/100,"T",Q25+273.15,"Water")/1000</f>
        <v>2640.337077578235</v>
      </c>
      <c r="R44">
        <f>[1]!PropsSI("H","Q",1-R26/100,"T",R25+273.15,"Water")/1000</f>
        <v>2641.4650415456886</v>
      </c>
      <c r="S44">
        <f>[1]!PropsSI("H","Q",1-S26/100,"T",S25+273.15,"Water")/1000</f>
        <v>2643.2947963551524</v>
      </c>
      <c r="T44">
        <f>[1]!PropsSI("H","Q",1-T26/100,"T",T25+273.15,"Water")/1000</f>
        <v>2644.6689886578747</v>
      </c>
      <c r="U44">
        <f>[1]!PropsSI("H","Q",1-U26/100,"T",U25+273.15,"Water")/1000</f>
        <v>2644.8912999721174</v>
      </c>
      <c r="V44">
        <f>[1]!PropsSI("H","Q",1-V26/100,"T",V25+273.15,"Water")/1000</f>
        <v>2651.7377696394324</v>
      </c>
      <c r="W44">
        <f>[1]!PropsSI("H","Q",1-W26/100,"T",W25+273.15,"Water")/1000</f>
        <v>2650.7347466147012</v>
      </c>
      <c r="X44">
        <f>[1]!PropsSI("H","Q",1-X26/100,"T",X25+273.15,"Water")/1000</f>
        <v>2650.8909809800493</v>
      </c>
      <c r="Y44">
        <f>[1]!PropsSI("H","Q",1-Y26/100,"T",Y25+273.15,"Water")/1000</f>
        <v>2663.7919144221828</v>
      </c>
      <c r="Z44">
        <f>[1]!PropsSI("H","Q",1-Z26/100,"T",Z25+273.15,"Water")/1000</f>
        <v>2664.6158030776251</v>
      </c>
    </row>
    <row r="45" spans="2:26" x14ac:dyDescent="0.35">
      <c r="B45" t="s">
        <v>75</v>
      </c>
      <c r="C45">
        <f>[1]!PropsSI("P","Q",1-C26/100,"T",C25+273.15,"Water")/1000000</f>
        <v>6.4767191933888787E-2</v>
      </c>
      <c r="D45">
        <f>[1]!PropsSI("P","Q",1-D26/100,"T",D25+273.15,"Water")/1000000</f>
        <v>6.6277341963131509E-2</v>
      </c>
      <c r="E45">
        <f>[1]!PropsSI("P","Q",1-E26/100,"T",E25+273.15,"Water")/1000000</f>
        <v>6.8859534440163031E-2</v>
      </c>
      <c r="F45">
        <f>[1]!PropsSI("P","Q",1-F26/100,"T",F25+273.15,"Water")/1000000</f>
        <v>6.8597597508601588E-2</v>
      </c>
      <c r="G45">
        <f>[1]!PropsSI("P","Q",1-G26/100,"T",G25+273.15,"Water")/1000000</f>
        <v>6.6277341963131509E-2</v>
      </c>
      <c r="H45">
        <f>[1]!PropsSI("P","Q",1-H26/100,"T",H25+273.15,"Water")/1000000</f>
        <v>6.4022958996165141E-2</v>
      </c>
      <c r="I45">
        <f>[1]!PropsSI("P","Q",1-I26/100,"T",I25+273.15,"Water")/1000000</f>
        <v>7.9746074175095868E-2</v>
      </c>
      <c r="J45">
        <f>[1]!PropsSI("P","Q",1-J26/100,"T",J25+273.15,"Water")/1000000</f>
        <v>8.1541480565424374E-2</v>
      </c>
      <c r="K45">
        <f>[1]!PropsSI("P","Q",1-K26/100,"T",K25+273.15,"Water")/1000000</f>
        <v>8.4608466319554598E-2</v>
      </c>
      <c r="L45">
        <f>[1]!PropsSI("P","Q",1-L26/100,"T",L25+273.15,"Water")/1000000</f>
        <v>8.3987521762633716E-2</v>
      </c>
      <c r="M45">
        <f>[1]!PropsSI("P","Q",1-M26/100,"T",M25+273.15,"Water")/1000000</f>
        <v>8.1239933970178688E-2</v>
      </c>
      <c r="N45">
        <f>[1]!PropsSI("P","Q",1-N26/100,"T",N25+273.15,"Water")/1000000</f>
        <v>7.8567501856889765E-2</v>
      </c>
      <c r="O45">
        <f>[1]!PropsSI("P","Q",1-O26/100,"T",O25+273.15,"Water")/1000000</f>
        <v>0.14925487204102467</v>
      </c>
      <c r="P45">
        <f>[1]!PropsSI("P","Q",1-P26/100,"T",P25+273.15,"Water")/1000000</f>
        <v>0.14875775625359325</v>
      </c>
      <c r="Q45">
        <f>[1]!PropsSI("P","Q",1-Q26/100,"T",Q25+273.15,"Water")/1000000</f>
        <v>0.14925487204102467</v>
      </c>
      <c r="R45">
        <f>[1]!PropsSI("P","Q",1-R26/100,"T",R25+273.15,"Water")/1000000</f>
        <v>0.1543015309035089</v>
      </c>
      <c r="S45">
        <f>[1]!PropsSI("P","Q",1-S26/100,"T",S25+273.15,"Water")/1000000</f>
        <v>0.15739619525788018</v>
      </c>
      <c r="T45">
        <f>[1]!PropsSI("P","Q",1-T26/100,"T",T25+273.15,"Water")/1000000</f>
        <v>0.1553274840163118</v>
      </c>
      <c r="U45">
        <f>[1]!PropsSI("P","Q",1-U26/100,"T",U25+273.15,"Water")/1000000</f>
        <v>0.1553274840163118</v>
      </c>
      <c r="V45">
        <f>[1]!PropsSI("P","Q",1-V26/100,"T",V25+273.15,"Water")/1000000</f>
        <v>0.15226631466586293</v>
      </c>
      <c r="W45">
        <f>[1]!PropsSI("P","Q",1-W26/100,"T",W25+273.15,"Water")/1000000</f>
        <v>0.14975335205077175</v>
      </c>
      <c r="X45">
        <f>[1]!PropsSI("P","Q",1-X26/100,"T",X25+273.15,"Water")/1000000</f>
        <v>0.15025319910043264</v>
      </c>
      <c r="Y45">
        <f>[1]!PropsSI("P","Q",1-Y26/100,"T",Y25+273.15,"Water")/1000000</f>
        <v>0.14386100857145734</v>
      </c>
      <c r="Z45">
        <f>[1]!PropsSI("P","Q",1-Z26/100,"T",Z25+273.15,"Water")/1000000</f>
        <v>0.14434463745968584</v>
      </c>
    </row>
    <row r="46" spans="2:26" x14ac:dyDescent="0.35">
      <c r="B46" t="s">
        <v>76</v>
      </c>
      <c r="C46">
        <f>[1]!PropsSI("S","Q",1-C26/100,"T",C25+273.15,"Water")/1000</f>
        <v>7.3309999308105773</v>
      </c>
      <c r="D46">
        <f>[1]!PropsSI("S","Q",1-D26/100,"T",D25+273.15,"Water")/1000</f>
        <v>7.3255075735443418</v>
      </c>
      <c r="E46">
        <f>[1]!PropsSI("S","Q",1-E26/100,"T",E25+273.15,"Water")/1000</f>
        <v>7.3157741511460079</v>
      </c>
      <c r="F46">
        <f>[1]!PropsSI("S","Q",1-F26/100,"T",F25+273.15,"Water")/1000</f>
        <v>7.3214064069673137</v>
      </c>
      <c r="G46">
        <f>[1]!PropsSI("S","Q",1-G26/100,"T",G25+273.15,"Water")/1000</f>
        <v>7.331829575189742</v>
      </c>
      <c r="H46">
        <f>[1]!PropsSI("S","Q",1-H26/100,"T",H25+273.15,"Water")/1000</f>
        <v>7.4057610924286568</v>
      </c>
      <c r="I46">
        <f>[1]!PropsSI("S","Q",1-I26/100,"T",I25+273.15,"Water")/1000</f>
        <v>7.2179053454798465</v>
      </c>
      <c r="J46">
        <f>[1]!PropsSI("S","Q",1-J26/100,"T",J25+273.15,"Water")/1000</f>
        <v>7.2109049929027984</v>
      </c>
      <c r="K46">
        <f>[1]!PropsSI("S","Q",1-K26/100,"T",K25+273.15,"Water")/1000</f>
        <v>7.1993026450009241</v>
      </c>
      <c r="L46">
        <f>[1]!PropsSI("S","Q",1-L26/100,"T",L25+273.15,"Water")/1000</f>
        <v>7.2096369340188904</v>
      </c>
      <c r="M46">
        <f>[1]!PropsSI("S","Q",1-M26/100,"T",M25+273.15,"Water")/1000</f>
        <v>7.2430244582600416</v>
      </c>
      <c r="N46">
        <f>[1]!PropsSI("S","Q",1-N26/100,"T",N25+273.15,"Water")/1000</f>
        <v>7.2927905344969437</v>
      </c>
      <c r="O46">
        <f>[1]!PropsSI("S","Q",1-O26/100,"T",O25+273.15,"Water")/1000</f>
        <v>7.0862016389911631</v>
      </c>
      <c r="P46">
        <f>[1]!PropsSI("S","Q",1-P26/100,"T",P25+273.15,"Water")/1000</f>
        <v>7.0890026765862029</v>
      </c>
      <c r="Q46">
        <f>[1]!PropsSI("S","Q",1-Q26/100,"T",Q25+273.15,"Water")/1000</f>
        <v>7.0879394186036864</v>
      </c>
      <c r="R46">
        <f>[1]!PropsSI("S","Q",1-R26/100,"T",R25+273.15,"Water")/1000</f>
        <v>7.076189717910931</v>
      </c>
      <c r="S46">
        <f>[1]!PropsSI("S","Q",1-S26/100,"T",S25+273.15,"Water")/1000</f>
        <v>7.0721699637854751</v>
      </c>
      <c r="T46">
        <f>[1]!PropsSI("S","Q",1-T26/100,"T",T25+273.15,"Water")/1000</f>
        <v>7.0815754130567639</v>
      </c>
      <c r="U46">
        <f>[1]!PropsSI("S","Q",1-U26/100,"T",U25+273.15,"Water")/1000</f>
        <v>7.082152021315725</v>
      </c>
      <c r="V46">
        <f>[1]!PropsSI("S","Q",1-V26/100,"T",V25+273.15,"Water")/1000</f>
        <v>7.1087368332517284</v>
      </c>
      <c r="W46">
        <f>[1]!PropsSI("S","Q",1-W26/100,"T",W25+273.15,"Water")/1000</f>
        <v>7.1135126010224043</v>
      </c>
      <c r="X46">
        <f>[1]!PropsSI("S","Q",1-X26/100,"T",X25+273.15,"Water")/1000</f>
        <v>7.1124405076630879</v>
      </c>
      <c r="Y46">
        <f>[1]!PropsSI("S","Q",1-Y26/100,"T",Y25+273.15,"Water")/1000</f>
        <v>7.1654049268637063</v>
      </c>
      <c r="Z46">
        <f>[1]!PropsSI("S","Q",1-Z26/100,"T",Z25+273.15,"Water")/1000</f>
        <v>7.1660541706285521</v>
      </c>
    </row>
    <row r="47" spans="2:26" x14ac:dyDescent="0.35">
      <c r="B47" t="s">
        <v>81</v>
      </c>
      <c r="C47">
        <f>1/[1]!PropsSI("D","Q",1-C26/100,"T",C25+273.15,"Water")</f>
        <v>2.4731967614841199</v>
      </c>
      <c r="D47">
        <f>1/[1]!PropsSI("D","Q",1-D26/100,"T",D25+273.15,"Water")</f>
        <v>2.4211761872783448</v>
      </c>
      <c r="E47">
        <f>1/[1]!PropsSI("D","Q",1-E26/100,"T",E25+273.15,"Water")</f>
        <v>2.3370836096670891</v>
      </c>
      <c r="F47">
        <f>1/[1]!PropsSI("D","Q",1-F26/100,"T",F25+273.15,"Water")</f>
        <v>2.347118291082821</v>
      </c>
      <c r="G47">
        <f>1/[1]!PropsSI("D","Q",1-G26/100,"T",G25+273.15,"Water")</f>
        <v>2.4236639970117126</v>
      </c>
      <c r="H47">
        <f>1/[1]!PropsSI("D","Q",1-H26/100,"T",H25+273.15,"Water")</f>
        <v>2.5288688107581909</v>
      </c>
      <c r="I47">
        <f>1/[1]!PropsSI("D","Q",1-I26/100,"T",I25+273.15,"Water")</f>
        <v>2.0200715389406549</v>
      </c>
      <c r="J47">
        <f>1/[1]!PropsSI("D","Q",1-J26/100,"T",J25+273.15,"Water")</f>
        <v>1.9784357696105535</v>
      </c>
      <c r="K47">
        <f>1/[1]!PropsSI("D","Q",1-K26/100,"T",K25+273.15,"Water")</f>
        <v>1.9112733263604116</v>
      </c>
      <c r="L47">
        <f>1/[1]!PropsSI("D","Q",1-L26/100,"T",L25+273.15,"Water")</f>
        <v>1.9270787616033778</v>
      </c>
      <c r="M47">
        <f>1/[1]!PropsSI("D","Q",1-M26/100,"T",M25+273.15,"Water")</f>
        <v>1.9955853305153153</v>
      </c>
      <c r="N47">
        <f>1/[1]!PropsSI("D","Q",1-N26/100,"T",N25+273.15,"Water")</f>
        <v>2.0723783183021234</v>
      </c>
      <c r="O47">
        <f>1/[1]!PropsSI("D","Q",1-O26/100,"T",O25+273.15,"Water")</f>
        <v>1.1368872399736407</v>
      </c>
      <c r="P47">
        <f>1/[1]!PropsSI("D","Q",1-P26/100,"T",P25+273.15,"Water")</f>
        <v>1.1407910732976483</v>
      </c>
      <c r="Q47">
        <f>1/[1]!PropsSI("D","Q",1-Q26/100,"T",Q25+273.15,"Water")</f>
        <v>1.1372363337063633</v>
      </c>
      <c r="R47">
        <f>1/[1]!PropsSI("D","Q",1-R26/100,"T",R25+273.15,"Water")</f>
        <v>1.1021781845229597</v>
      </c>
      <c r="S47">
        <f>1/[1]!PropsSI("D","Q",1-S26/100,"T",S25+273.15,"Water")</f>
        <v>1.0823347174614502</v>
      </c>
      <c r="T47">
        <f>1/[1]!PropsSI("D","Q",1-T26/100,"T",T25+273.15,"Water")</f>
        <v>1.0968234762373361</v>
      </c>
      <c r="U47">
        <f>1/[1]!PropsSI("D","Q",1-U26/100,"T",U25+273.15,"Water")</f>
        <v>1.0969355754550265</v>
      </c>
      <c r="V47">
        <f>1/[1]!PropsSI("D","Q",1-V26/100,"T",V25+273.15,"Water")</f>
        <v>1.1215501672550696</v>
      </c>
      <c r="W47">
        <f>1/[1]!PropsSI("D","Q",1-W26/100,"T",W25+273.15,"Water")</f>
        <v>1.1390308428486435</v>
      </c>
      <c r="X47">
        <f>1/[1]!PropsSI("D","Q",1-X26/100,"T",X25+273.15,"Water")</f>
        <v>1.1354857507333138</v>
      </c>
      <c r="Y47">
        <f>1/[1]!PropsSI("D","Q",1-Y26/100,"T",Y25+273.15,"Water")</f>
        <v>1.1906852512312713</v>
      </c>
      <c r="Z47">
        <f>1/[1]!PropsSI("D","Q",1-Z26/100,"T",Z25+273.15,"Water")</f>
        <v>1.1873132353086175</v>
      </c>
    </row>
    <row r="48" spans="2:26" x14ac:dyDescent="0.35">
      <c r="B48" t="s">
        <v>77</v>
      </c>
      <c r="C48">
        <f>[1]!PropsSI("H","Q",1-C30/100,"P",C29*10^6,"Water")/1000</f>
        <v>2334.650924854951</v>
      </c>
      <c r="D48">
        <f>[1]!PropsSI("H","Q",1-D30/100,"P",D29*10^6,"Water")/1000</f>
        <v>2349.3260689215881</v>
      </c>
      <c r="E48">
        <f>[1]!PropsSI("H","Q",1-E30/100,"P",E29*10^6,"Water")/1000</f>
        <v>2360.4937861198173</v>
      </c>
      <c r="F48">
        <f>[1]!PropsSI("H","Q",1-F30/100,"P",F29*10^6,"Water")/1000</f>
        <v>2370.9769907541017</v>
      </c>
      <c r="G48">
        <f>[1]!PropsSI("H","Q",1-G30/100,"P",G29*10^6,"Water")/1000</f>
        <v>2390.7372963216285</v>
      </c>
      <c r="H48">
        <f>[1]!PropsSI("H","Q",1-H30/100,"P",H29*10^6,"Water")/1000</f>
        <v>2458.2332696425365</v>
      </c>
      <c r="I48">
        <f>[1]!PropsSI("H","Q",1-I30/100,"P",I29*10^6,"Water")/1000</f>
        <v>2325.1144715080763</v>
      </c>
      <c r="J48">
        <f>[1]!PropsSI("H","Q",1-J30/100,"P",J29*10^6,"Water")/1000</f>
        <v>2338.108881416475</v>
      </c>
      <c r="K48">
        <f>[1]!PropsSI("H","Q",1-K30/100,"P",K29*10^6,"Water")/1000</f>
        <v>2347.9809430633945</v>
      </c>
      <c r="L48">
        <f>[1]!PropsSI("H","Q",1-L30/100,"P",L29*10^6,"Water")/1000</f>
        <v>2359.6993548942419</v>
      </c>
      <c r="M48">
        <f>[1]!PropsSI("H","Q",1-M30/100,"P",M29*10^6,"Water")/1000</f>
        <v>2386.6357181332796</v>
      </c>
      <c r="N48">
        <f>[1]!PropsSI("H","Q",1-N30/100,"P",N29*10^6,"Water")/1000</f>
        <v>2444.3546727619446</v>
      </c>
      <c r="O48">
        <f>[1]!PropsSI("H","Q",1-O30/100,"P",O29*10^6,"Water")/1000</f>
        <v>2324.3811755470679</v>
      </c>
      <c r="P48">
        <f>[1]!PropsSI("H","Q",1-P30/100,"P",P29*10^6,"Water")/1000</f>
        <v>2324.3181709760433</v>
      </c>
      <c r="Q48">
        <f>[1]!PropsSI("H","Q",1-Q30/100,"P",Q29*10^6,"Water")/1000</f>
        <v>2336.8878005517745</v>
      </c>
      <c r="R48">
        <f>[1]!PropsSI("H","Q",1-R30/100,"P",R29*10^6,"Water")/1000</f>
        <v>2339.5050417499783</v>
      </c>
      <c r="S48">
        <f>[1]!PropsSI("H","Q",1-S30/100,"P",S29*10^6,"Water")/1000</f>
        <v>2351.1119414318946</v>
      </c>
      <c r="T48">
        <f>[1]!PropsSI("H","Q",1-T30/100,"P",T29*10^6,"Water")/1000</f>
        <v>2359.8624111890977</v>
      </c>
      <c r="U48">
        <f>[1]!PropsSI("H","Q",1-U30/100,"P",U29*10^6,"Water")/1000</f>
        <v>2360.1013411228237</v>
      </c>
      <c r="V48">
        <f>[1]!PropsSI("H","Q",1-V30/100,"P",V29*10^6,"Water")/1000</f>
        <v>2341.2543185335167</v>
      </c>
      <c r="W48">
        <f>[1]!PropsSI("H","Q",1-W30/100,"P",W29*10^6,"Water")/1000</f>
        <v>2363.7898208862248</v>
      </c>
      <c r="X48">
        <f>[1]!PropsSI("H","Q",1-X30/100,"P",X29*10^6,"Water")/1000</f>
        <v>2387.191685975391</v>
      </c>
      <c r="Y48">
        <f>[1]!PropsSI("H","Q",1-Y30/100,"P",Y29*10^6,"Water")/1000</f>
        <v>2441.5523826727449</v>
      </c>
      <c r="Z48">
        <f>[1]!PropsSI("H","Q",1-Z30/100,"P",Z29*10^6,"Water")/1000</f>
        <v>2464.8514322412097</v>
      </c>
    </row>
    <row r="49" spans="1:26" x14ac:dyDescent="0.35">
      <c r="B49" t="s">
        <v>75</v>
      </c>
      <c r="C49">
        <f>[1]!PropsSI("P","Q",1-C30/100,"P",C29*10^6,"Water")/1000000</f>
        <v>4.7999999999999996E-3</v>
      </c>
      <c r="D49">
        <f>[1]!PropsSI("P","Q",1-D30/100,"P",D29*10^6,"Water")/1000000</f>
        <v>5.7000000000000002E-3</v>
      </c>
      <c r="E49">
        <f>[1]!PropsSI("P","Q",1-E30/100,"P",E29*10^6,"Water")/1000000</f>
        <v>6.6E-3</v>
      </c>
      <c r="F49">
        <f>[1]!PropsSI("P","Q",1-F30/100,"P",F29*10^6,"Water")/1000000</f>
        <v>7.3000000000000001E-3</v>
      </c>
      <c r="G49">
        <f>[1]!PropsSI("P","Q",1-G30/100,"P",G29*10^6,"Water")/1000000</f>
        <v>9.1999999999999998E-3</v>
      </c>
      <c r="H49">
        <f>[1]!PropsSI("P","Q",1-H30/100,"P",H29*10^6,"Water")/1000000</f>
        <v>1.47E-2</v>
      </c>
      <c r="I49">
        <f>[1]!PropsSI("P","Q",1-I30/100,"P",I29*10^6,"Water")/1000000</f>
        <v>6.0000000000000001E-3</v>
      </c>
      <c r="J49">
        <f>[1]!PropsSI("P","Q",1-J30/100,"P",J29*10^6,"Water")/1000000</f>
        <v>7.0000000000000001E-3</v>
      </c>
      <c r="K49">
        <f>[1]!PropsSI("P","Q",1-K30/100,"P",K29*10^6,"Water")/1000000</f>
        <v>8.0000000000000002E-3</v>
      </c>
      <c r="L49">
        <f>[1]!PropsSI("P","Q",1-L30/100,"P",L29*10^6,"Water")/1000000</f>
        <v>8.9999999999999993E-3</v>
      </c>
      <c r="M49">
        <f>[1]!PropsSI("P","Q",1-M30/100,"P",M29*10^6,"Water")/1000000</f>
        <v>1.0999999999999999E-2</v>
      </c>
      <c r="N49">
        <f>[1]!PropsSI("P","Q",1-N30/100,"P",N29*10^6,"Water")/1000000</f>
        <v>1.7000000000000001E-2</v>
      </c>
      <c r="O49">
        <f>[1]!PropsSI("P","Q",1-O30/100,"P",O29*10^6,"Water")/1000000</f>
        <v>7.0000000000000001E-3</v>
      </c>
      <c r="P49">
        <f>[1]!PropsSI("P","Q",1-P30/100,"P",P29*10^6,"Water")/1000000</f>
        <v>6.8999999999999999E-3</v>
      </c>
      <c r="Q49">
        <f>[1]!PropsSI("P","Q",1-Q30/100,"P",Q29*10^6,"Water")/1000000</f>
        <v>8.3999999999999995E-3</v>
      </c>
      <c r="R49">
        <f>[1]!PropsSI("P","Q",1-R30/100,"P",R29*10^6,"Water")/1000000</f>
        <v>8.5000000000000006E-3</v>
      </c>
      <c r="S49">
        <f>[1]!PropsSI("P","Q",1-S30/100,"P",S29*10^6,"Water")/1000000</f>
        <v>0.01</v>
      </c>
      <c r="T49">
        <f>[1]!PropsSI("P","Q",1-T30/100,"P",T29*10^6,"Water")/1000000</f>
        <v>1.06E-2</v>
      </c>
      <c r="U49">
        <f>[1]!PropsSI("P","Q",1-U30/100,"P",U29*10^6,"Water")/1000000</f>
        <v>1.06E-2</v>
      </c>
      <c r="V49">
        <f>[1]!PropsSI("P","Q",1-V30/100,"P",V29*10^6,"Water")/1000000</f>
        <v>8.0000000000000002E-3</v>
      </c>
      <c r="W49">
        <f>[1]!PropsSI("P","Q",1-W30/100,"P",W29*10^6,"Water")/1000000</f>
        <v>0.01</v>
      </c>
      <c r="X49">
        <f>[1]!PropsSI("P","Q",1-X30/100,"P",X29*10^6,"Water")/1000000</f>
        <v>1.32E-2</v>
      </c>
      <c r="Y49">
        <f>[1]!PropsSI("P","Q",1-Y30/100,"P",Y29*10^6,"Water")/1000000</f>
        <v>0.02</v>
      </c>
      <c r="Z49">
        <f>[1]!PropsSI("P","Q",1-Z30/100,"P",Z29*10^6,"Water")/1000000</f>
        <v>2.52E-2</v>
      </c>
    </row>
    <row r="50" spans="1:26" x14ac:dyDescent="0.35">
      <c r="B50" t="s">
        <v>76</v>
      </c>
      <c r="C50">
        <f>[1]!PropsSI("S","Q",1-C30/100,"P",C29*10^6,"Water")/1000</f>
        <v>7.6720996636240839</v>
      </c>
      <c r="D50">
        <f>[1]!PropsSI("S","Q",1-D30/100,"P",D29*10^6,"Water")/1000</f>
        <v>7.647991502559349</v>
      </c>
      <c r="E50">
        <f>[1]!PropsSI("S","Q",1-E30/100,"P",E29*10^6,"Water")/1000</f>
        <v>7.6224975796385017</v>
      </c>
      <c r="F50">
        <f>[1]!PropsSI("S","Q",1-F30/100,"P",F29*10^6,"Water")/1000</f>
        <v>7.6136630179694871</v>
      </c>
      <c r="G50">
        <f>[1]!PropsSI("S","Q",1-G30/100,"P",G29*10^6,"Water")/1000</f>
        <v>7.5786246319726116</v>
      </c>
      <c r="H50">
        <f>[1]!PropsSI("S","Q",1-H30/100,"P",H29*10^6,"Water")/1000</f>
        <v>7.5876828373226273</v>
      </c>
      <c r="I50">
        <f>[1]!PropsSI("S","Q",1-I30/100,"P",I29*10^6,"Water")/1000</f>
        <v>7.5482151649336462</v>
      </c>
      <c r="J50">
        <f>[1]!PropsSI("S","Q",1-J30/100,"P",J29*10^6,"Water")/1000</f>
        <v>7.5260648796293435</v>
      </c>
      <c r="K50">
        <f>[1]!PropsSI("S","Q",1-K30/100,"P",K29*10^6,"Water")/1000</f>
        <v>7.5020115037089719</v>
      </c>
      <c r="L50">
        <f>[1]!PropsSI("S","Q",1-L30/100,"P",L29*10^6,"Water")/1000</f>
        <v>7.4899955722043039</v>
      </c>
      <c r="M50">
        <f>[1]!PropsSI("S","Q",1-M30/100,"P",M29*10^6,"Water")/1000</f>
        <v>7.4902969438097236</v>
      </c>
      <c r="N50">
        <f>[1]!PropsSI("S","Q",1-N30/100,"P",N29*10^6,"Water")/1000</f>
        <v>7.482812650934239</v>
      </c>
      <c r="O50">
        <f>[1]!PropsSI("S","Q",1-O30/100,"P",O29*10^6,"Water")/1000</f>
        <v>7.4820869041939551</v>
      </c>
      <c r="P50">
        <f>[1]!PropsSI("S","Q",1-P30/100,"P",P29*10^6,"Water")/1000</f>
        <v>7.4878282287334779</v>
      </c>
      <c r="Q50">
        <f>[1]!PropsSI("S","Q",1-Q30/100,"P",Q29*10^6,"Water")/1000</f>
        <v>7.446552175317116</v>
      </c>
      <c r="R50">
        <f>[1]!PropsSI("S","Q",1-R30/100,"P",R29*10^6,"Water")/1000</f>
        <v>7.4499415789713721</v>
      </c>
      <c r="S50">
        <f>[1]!PropsSI("S","Q",1-S30/100,"P",S29*10^6,"Water")/1000</f>
        <v>7.4191067217341287</v>
      </c>
      <c r="T50">
        <f>[1]!PropsSI("S","Q",1-T30/100,"P",T29*10^6,"Water")/1000</f>
        <v>7.4222649710909128</v>
      </c>
      <c r="U50">
        <f>[1]!PropsSI("S","Q",1-U30/100,"P",U29*10^6,"Water")/1000</f>
        <v>7.4230113921798084</v>
      </c>
      <c r="V50">
        <f>[1]!PropsSI("S","Q",1-V30/100,"P",V29*10^6,"Water")/1000</f>
        <v>7.4806339821909402</v>
      </c>
      <c r="W50">
        <f>[1]!PropsSI("S","Q",1-W30/100,"P",W29*10^6,"Water")/1000</f>
        <v>7.4588547320561105</v>
      </c>
      <c r="X50">
        <f>[1]!PropsSI("S","Q",1-X30/100,"P",X29*10^6,"Water")/1000</f>
        <v>7.4153567432082887</v>
      </c>
      <c r="Y50">
        <f>[1]!PropsSI("S","Q",1-Y30/100,"P",Y29*10^6,"Water")/1000</f>
        <v>7.4048815497758111</v>
      </c>
      <c r="Z50">
        <f>[1]!PropsSI("S","Q",1-Z30/100,"P",Z29*10^6,"Water")/1000</f>
        <v>7.3754536621012123</v>
      </c>
    </row>
    <row r="52" spans="1:26" x14ac:dyDescent="0.35">
      <c r="B52" t="s">
        <v>78</v>
      </c>
      <c r="C52">
        <f>[1]!PropsSI("H","S",C46*1000,"P",C49*10^6,"Water")/1000</f>
        <v>2230.5132985429354</v>
      </c>
      <c r="D52">
        <f>[1]!PropsSI("H","S",D46*1000,"P",D49*10^6,"Water")/1000</f>
        <v>2249.8795149789053</v>
      </c>
      <c r="E52">
        <f>[1]!PropsSI("H","S",E46*1000,"P",E49*10^6,"Water")/1000</f>
        <v>2265.0849189082528</v>
      </c>
      <c r="F52">
        <f>[1]!PropsSI("H","S",F46*1000,"P",F49*10^6,"Water")/1000</f>
        <v>2279.5201971673446</v>
      </c>
      <c r="G52">
        <f>[1]!PropsSI("H","S",G46*1000,"P",G49*10^6,"Water")/1000</f>
        <v>2312.4206205273322</v>
      </c>
      <c r="H52">
        <f>[1]!PropsSI("H","S",H46*1000,"P",H49*10^6,"Water")/1000</f>
        <v>2398.7992049124891</v>
      </c>
      <c r="I52">
        <f>[1]!PropsSI("H","S",I46*1000,"P",I49*10^6,"Water")/1000</f>
        <v>2222.9466803095634</v>
      </c>
      <c r="J52">
        <f>[1]!PropsSI("H","S",J46*1000,"P",J49*10^6,"Water")/1000</f>
        <v>2239.7318601010229</v>
      </c>
      <c r="K52">
        <f>[1]!PropsSI("H","S",K46*1000,"P",K49*10^6,"Water")/1000</f>
        <v>2252.7309472825718</v>
      </c>
      <c r="L52">
        <f>[1]!PropsSI("H","S",L46*1000,"P",L49*10^6,"Water")/1000</f>
        <v>2270.8507354758917</v>
      </c>
      <c r="M52">
        <f>[1]!PropsSI("H","S",M46*1000,"P",M49*10^6,"Water")/1000</f>
        <v>2307.3025181930611</v>
      </c>
      <c r="N52">
        <f>[1]!PropsSI("H","S",N46*1000,"P",N49*10^6,"Water")/1000</f>
        <v>2381.6973892739948</v>
      </c>
      <c r="O52">
        <f>[1]!PropsSI("H","S",O46*1000,"P",O49*10^6,"Water")/1000</f>
        <v>2200.80576251514</v>
      </c>
      <c r="P52">
        <f>[1]!PropsSI("H","S",P46*1000,"P",P49*10^6,"Water")/1000</f>
        <v>2199.9316990665279</v>
      </c>
      <c r="Q52">
        <f>[1]!PropsSI("H","S",Q46*1000,"P",Q49*10^6,"Water")/1000</f>
        <v>2223.7142367231622</v>
      </c>
      <c r="R52">
        <f>[1]!PropsSI("H","S",R46*1000,"P",R49*10^6,"Water")/1000</f>
        <v>2221.4692587076556</v>
      </c>
      <c r="S52">
        <f>[1]!PropsSI("H","S",S46*1000,"P",S49*10^6,"Water")/1000</f>
        <v>2240.4542667478167</v>
      </c>
      <c r="T52">
        <f>[1]!PropsSI("H","S",T46*1000,"P",T49*10^6,"Water")/1000</f>
        <v>2250.807435742388</v>
      </c>
      <c r="U52">
        <f>[1]!PropsSI("H","S",U46*1000,"P",U49*10^6,"Water")/1000</f>
        <v>2250.9920084656792</v>
      </c>
      <c r="V52">
        <f>[1]!PropsSI("H","S",V46*1000,"P",V49*10^6,"Water")/1000</f>
        <v>2224.2336207629087</v>
      </c>
      <c r="W52">
        <f>[1]!PropsSI("H","S",W46*1000,"P",W49*10^6,"Water")/1000</f>
        <v>2253.6407625489419</v>
      </c>
      <c r="X52">
        <f>[1]!PropsSI("H","S",X46*1000,"P",X49*10^6,"Water")/1000</f>
        <v>2288.8970202293754</v>
      </c>
      <c r="Y52">
        <f>[1]!PropsSI("H","S",Y46*1000,"P",Y49*10^6,"Water")/1000</f>
        <v>2361.7568655951695</v>
      </c>
      <c r="Z52">
        <f>[1]!PropsSI("H","S",Z46*1000,"P",Z49*10^6,"Water")/1000</f>
        <v>2394.0134592712898</v>
      </c>
    </row>
    <row r="53" spans="1:26" x14ac:dyDescent="0.35">
      <c r="B53" t="s">
        <v>79</v>
      </c>
      <c r="C53">
        <f>(C44-C48)/(C44-C52)</f>
        <v>0.71285737734156329</v>
      </c>
      <c r="D53">
        <f t="shared" ref="D53:H53" si="0">(D44-D48)/(D44-D52)</f>
        <v>0.71176006042473139</v>
      </c>
      <c r="E53">
        <f t="shared" si="0"/>
        <v>0.71299110674531008</v>
      </c>
      <c r="F53">
        <f t="shared" si="0"/>
        <v>0.71367701457000521</v>
      </c>
      <c r="G53">
        <f t="shared" si="0"/>
        <v>0.7249714436813629</v>
      </c>
      <c r="H53">
        <f t="shared" si="0"/>
        <v>0.72923320414461013</v>
      </c>
      <c r="I53">
        <f t="shared" ref="I53" si="1">(I44-I48)/(I44-I52)</f>
        <v>0.71816913659243165</v>
      </c>
      <c r="J53">
        <f t="shared" ref="J53" si="2">(J44-J48)/(J44-J52)</f>
        <v>0.71628874448890889</v>
      </c>
      <c r="K53">
        <f t="shared" ref="K53" si="3">(K44-K48)/(K44-K52)</f>
        <v>0.71605259824407563</v>
      </c>
      <c r="L53">
        <f t="shared" ref="L53" si="4">(L44-L48)/(L44-L52)</f>
        <v>0.72229729084584471</v>
      </c>
      <c r="M53">
        <f t="shared" ref="M53" si="5">(M44-M48)/(M44-M52)</f>
        <v>0.72678745360735753</v>
      </c>
      <c r="N53">
        <f t="shared" ref="N53:O53" si="6">(N44-N48)/(N44-N52)</f>
        <v>0.72613217584188605</v>
      </c>
      <c r="O53">
        <f t="shared" si="6"/>
        <v>0.71841941437485812</v>
      </c>
      <c r="P53">
        <f t="shared" ref="P53" si="7">(P44-P48)/(P44-P52)</f>
        <v>0.71746257219888998</v>
      </c>
      <c r="Q53">
        <f t="shared" ref="Q53" si="8">(Q44-Q48)/(Q44-Q52)</f>
        <v>0.72835487464792881</v>
      </c>
      <c r="R53">
        <f t="shared" ref="R53" si="9">(R44-R48)/(R44-R52)</f>
        <v>0.71895959943997345</v>
      </c>
      <c r="S53">
        <f t="shared" ref="S53" si="10">(S44-S48)/(S44-S52)</f>
        <v>0.72530650083312076</v>
      </c>
      <c r="T53">
        <f t="shared" ref="T53" si="11">(T44-T48)/(T44-T52)</f>
        <v>0.72311342744817164</v>
      </c>
      <c r="U53">
        <f t="shared" ref="U53" si="12">(U44-U48)/(U44-U52)</f>
        <v>0.72300195758193919</v>
      </c>
      <c r="V53">
        <f t="shared" ref="V53" si="13">(V44-V48)/(V44-V52)</f>
        <v>0.72627003017833369</v>
      </c>
      <c r="W53">
        <f t="shared" ref="W53" si="14">(W44-W48)/(W44-W52)</f>
        <v>0.72261212015984089</v>
      </c>
      <c r="X53">
        <f t="shared" ref="X53" si="15">(X44-X48)/(X44-X52)</f>
        <v>0.72846324413208419</v>
      </c>
      <c r="Y53">
        <f t="shared" ref="Y53" si="16">(Y44-Y48)/(Y44-Y52)</f>
        <v>0.73580709461544236</v>
      </c>
      <c r="Z53">
        <f t="shared" ref="Z53" si="17">(Z44-Z48)/(Z44-Z52)</f>
        <v>0.73822114038813613</v>
      </c>
    </row>
    <row r="54" spans="1:26" x14ac:dyDescent="0.35">
      <c r="A54" t="s">
        <v>79</v>
      </c>
      <c r="B54" t="s">
        <v>82</v>
      </c>
      <c r="C54">
        <f>C24</f>
        <v>52.33</v>
      </c>
      <c r="D54">
        <f t="shared" ref="D54:H54" si="18">D24</f>
        <v>53.5</v>
      </c>
      <c r="E54">
        <f t="shared" si="18"/>
        <v>55.33</v>
      </c>
      <c r="F54">
        <f t="shared" si="18"/>
        <v>55.17</v>
      </c>
      <c r="G54">
        <f t="shared" si="18"/>
        <v>53.14</v>
      </c>
      <c r="H54">
        <f t="shared" si="18"/>
        <v>50.25</v>
      </c>
      <c r="I54">
        <f t="shared" ref="I54:N54" si="19">I24</f>
        <v>64.25</v>
      </c>
      <c r="J54">
        <f t="shared" si="19"/>
        <v>65.61</v>
      </c>
      <c r="K54">
        <f t="shared" si="19"/>
        <v>67.81</v>
      </c>
      <c r="L54">
        <f t="shared" si="19"/>
        <v>67.22</v>
      </c>
      <c r="M54">
        <f t="shared" si="19"/>
        <v>64.89</v>
      </c>
      <c r="N54">
        <f t="shared" si="19"/>
        <v>61.55</v>
      </c>
      <c r="O54">
        <f t="shared" ref="O54:W54" si="20">O24</f>
        <v>76.72</v>
      </c>
      <c r="P54">
        <f t="shared" si="20"/>
        <v>76.5</v>
      </c>
      <c r="Q54">
        <f t="shared" si="20"/>
        <v>78.17</v>
      </c>
      <c r="R54">
        <f t="shared" si="20"/>
        <v>79.33</v>
      </c>
      <c r="S54">
        <f t="shared" si="20"/>
        <v>80.61</v>
      </c>
      <c r="T54">
        <f t="shared" si="20"/>
        <v>79.62</v>
      </c>
      <c r="U54">
        <f t="shared" si="20"/>
        <v>79.52</v>
      </c>
      <c r="V54">
        <f t="shared" si="20"/>
        <v>78.16</v>
      </c>
      <c r="W54">
        <f t="shared" si="20"/>
        <v>76.819999999999993</v>
      </c>
      <c r="X54">
        <f t="shared" ref="X54:Z54" si="21">X24</f>
        <v>76.86</v>
      </c>
      <c r="Y54">
        <f t="shared" si="21"/>
        <v>72.94</v>
      </c>
      <c r="Z54">
        <f t="shared" si="21"/>
        <v>72.94</v>
      </c>
    </row>
    <row r="55" spans="1:26" x14ac:dyDescent="0.35">
      <c r="B55" t="s">
        <v>80</v>
      </c>
      <c r="C55">
        <f>C47*C24</f>
        <v>129.42238652846399</v>
      </c>
      <c r="D55">
        <f t="shared" ref="D55:H55" si="22">D47*D24</f>
        <v>129.53292601939145</v>
      </c>
      <c r="E55">
        <f t="shared" si="22"/>
        <v>129.31083612288003</v>
      </c>
      <c r="F55">
        <f t="shared" si="22"/>
        <v>129.49051611903923</v>
      </c>
      <c r="G55">
        <f t="shared" si="22"/>
        <v>128.7935048012024</v>
      </c>
      <c r="H55">
        <f t="shared" si="22"/>
        <v>127.0756577405991</v>
      </c>
      <c r="I55">
        <f t="shared" ref="I55:N55" si="23">I47*I24</f>
        <v>129.78959637693708</v>
      </c>
      <c r="J55">
        <f t="shared" si="23"/>
        <v>129.80517084414842</v>
      </c>
      <c r="K55">
        <f t="shared" si="23"/>
        <v>129.60344426049951</v>
      </c>
      <c r="L55">
        <f t="shared" si="23"/>
        <v>129.53823435497904</v>
      </c>
      <c r="M55">
        <f t="shared" si="23"/>
        <v>129.4935320971388</v>
      </c>
      <c r="N55">
        <f t="shared" si="23"/>
        <v>127.55488549149568</v>
      </c>
      <c r="O55">
        <f t="shared" ref="O55:W55" si="24">O47*O24</f>
        <v>87.221989050777708</v>
      </c>
      <c r="P55">
        <f t="shared" si="24"/>
        <v>87.270517107270095</v>
      </c>
      <c r="Q55">
        <f t="shared" si="24"/>
        <v>88.897764205826419</v>
      </c>
      <c r="R55">
        <f t="shared" si="24"/>
        <v>87.435795378206393</v>
      </c>
      <c r="S55">
        <f t="shared" si="24"/>
        <v>87.247001574567491</v>
      </c>
      <c r="T55">
        <f t="shared" si="24"/>
        <v>87.329085178016712</v>
      </c>
      <c r="U55">
        <f t="shared" si="24"/>
        <v>87.228316960183705</v>
      </c>
      <c r="V55">
        <f t="shared" si="24"/>
        <v>87.660361072656244</v>
      </c>
      <c r="W55">
        <f t="shared" si="24"/>
        <v>87.500349347632792</v>
      </c>
      <c r="X55">
        <f t="shared" ref="X55:Z55" si="25">X47*X24</f>
        <v>87.273434801362498</v>
      </c>
      <c r="Y55">
        <f t="shared" si="25"/>
        <v>86.848582224808922</v>
      </c>
      <c r="Z55">
        <f t="shared" si="25"/>
        <v>86.602627383410564</v>
      </c>
    </row>
    <row r="56" spans="1:26" x14ac:dyDescent="0.35">
      <c r="B56" t="s">
        <v>85</v>
      </c>
      <c r="C56">
        <f t="shared" ref="C56:H56" si="26">C26</f>
        <v>2.75</v>
      </c>
      <c r="D56">
        <f t="shared" si="26"/>
        <v>2.72</v>
      </c>
      <c r="E56">
        <f t="shared" si="26"/>
        <v>2.68</v>
      </c>
      <c r="F56">
        <f t="shared" si="26"/>
        <v>2.61</v>
      </c>
      <c r="G56">
        <f t="shared" si="26"/>
        <v>2.62</v>
      </c>
      <c r="H56">
        <f t="shared" si="26"/>
        <v>1.63</v>
      </c>
      <c r="I56">
        <f>I26</f>
        <v>3.5</v>
      </c>
      <c r="J56">
        <f t="shared" ref="J56:Z56" si="27">J26</f>
        <v>3.5</v>
      </c>
      <c r="K56">
        <f t="shared" si="27"/>
        <v>3.5</v>
      </c>
      <c r="L56">
        <f t="shared" si="27"/>
        <v>3.37</v>
      </c>
      <c r="M56">
        <f t="shared" si="27"/>
        <v>3</v>
      </c>
      <c r="N56">
        <f t="shared" si="27"/>
        <v>2.37</v>
      </c>
      <c r="O56">
        <f t="shared" si="27"/>
        <v>2.39</v>
      </c>
      <c r="P56">
        <f t="shared" si="27"/>
        <v>2.36</v>
      </c>
      <c r="Q56">
        <f t="shared" si="27"/>
        <v>2.36</v>
      </c>
      <c r="R56">
        <f t="shared" si="27"/>
        <v>2.38</v>
      </c>
      <c r="S56">
        <f t="shared" si="27"/>
        <v>2.34</v>
      </c>
      <c r="T56">
        <f t="shared" si="27"/>
        <v>2.25</v>
      </c>
      <c r="U56">
        <f t="shared" si="27"/>
        <v>2.2400000000000002</v>
      </c>
      <c r="V56">
        <f t="shared" si="27"/>
        <v>1.89</v>
      </c>
      <c r="W56">
        <f t="shared" si="27"/>
        <v>1.9</v>
      </c>
      <c r="X56">
        <f t="shared" si="27"/>
        <v>1.9</v>
      </c>
      <c r="Y56">
        <f t="shared" si="27"/>
        <v>1.23</v>
      </c>
      <c r="Z56">
        <f t="shared" si="27"/>
        <v>1.2</v>
      </c>
    </row>
    <row r="57" spans="1:26" x14ac:dyDescent="0.35">
      <c r="B57" t="s">
        <v>86</v>
      </c>
      <c r="C57">
        <f t="shared" ref="C57:H57" si="28">C30</f>
        <v>9.27</v>
      </c>
      <c r="D57">
        <f t="shared" si="28"/>
        <v>8.92</v>
      </c>
      <c r="E57">
        <f t="shared" si="28"/>
        <v>8.68</v>
      </c>
      <c r="F57">
        <f t="shared" si="28"/>
        <v>8.4</v>
      </c>
      <c r="G57">
        <f t="shared" si="28"/>
        <v>7.94</v>
      </c>
      <c r="H57">
        <f t="shared" si="28"/>
        <v>5.87</v>
      </c>
      <c r="I57">
        <f>I30</f>
        <v>10</v>
      </c>
      <c r="J57">
        <f t="shared" ref="J57:Z57" si="29">J30</f>
        <v>9.6999999999999993</v>
      </c>
      <c r="K57">
        <f t="shared" si="29"/>
        <v>9.5</v>
      </c>
      <c r="L57">
        <f t="shared" si="29"/>
        <v>9.1999999999999993</v>
      </c>
      <c r="M57">
        <f t="shared" si="29"/>
        <v>8.4</v>
      </c>
      <c r="N57">
        <f t="shared" si="29"/>
        <v>6.7</v>
      </c>
      <c r="O57">
        <f t="shared" si="29"/>
        <v>10.27</v>
      </c>
      <c r="P57">
        <f t="shared" si="29"/>
        <v>10.25</v>
      </c>
      <c r="Q57">
        <f t="shared" si="29"/>
        <v>10.039999999999999</v>
      </c>
      <c r="R57">
        <f t="shared" si="29"/>
        <v>9.9499999999999993</v>
      </c>
      <c r="S57">
        <f t="shared" si="29"/>
        <v>9.73</v>
      </c>
      <c r="T57">
        <f t="shared" si="29"/>
        <v>9.4600000000000009</v>
      </c>
      <c r="U57">
        <f t="shared" si="29"/>
        <v>9.4499999999999993</v>
      </c>
      <c r="V57">
        <f t="shared" si="29"/>
        <v>9.7799999999999994</v>
      </c>
      <c r="W57">
        <f t="shared" si="29"/>
        <v>9.1999999999999993</v>
      </c>
      <c r="X57">
        <f t="shared" si="29"/>
        <v>8.68</v>
      </c>
      <c r="Y57">
        <f t="shared" si="29"/>
        <v>7.1</v>
      </c>
      <c r="Z57">
        <f t="shared" si="29"/>
        <v>6.52</v>
      </c>
    </row>
    <row r="61" spans="1:26" x14ac:dyDescent="0.35">
      <c r="B61" t="str">
        <f>B55</f>
        <v>Объемный расход на входе</v>
      </c>
      <c r="C61">
        <f t="shared" ref="C61:Z61" si="30">C55</f>
        <v>129.42238652846399</v>
      </c>
      <c r="D61">
        <f t="shared" si="30"/>
        <v>129.53292601939145</v>
      </c>
      <c r="E61">
        <f t="shared" si="30"/>
        <v>129.31083612288003</v>
      </c>
      <c r="F61">
        <f t="shared" si="30"/>
        <v>129.49051611903923</v>
      </c>
      <c r="G61">
        <f t="shared" si="30"/>
        <v>128.7935048012024</v>
      </c>
      <c r="H61">
        <f t="shared" si="30"/>
        <v>127.0756577405991</v>
      </c>
      <c r="I61">
        <f t="shared" si="30"/>
        <v>129.78959637693708</v>
      </c>
      <c r="J61">
        <f t="shared" si="30"/>
        <v>129.80517084414842</v>
      </c>
      <c r="K61">
        <f t="shared" si="30"/>
        <v>129.60344426049951</v>
      </c>
      <c r="L61">
        <f t="shared" si="30"/>
        <v>129.53823435497904</v>
      </c>
      <c r="M61">
        <f t="shared" si="30"/>
        <v>129.4935320971388</v>
      </c>
      <c r="N61">
        <f t="shared" si="30"/>
        <v>127.55488549149568</v>
      </c>
      <c r="O61">
        <f t="shared" si="30"/>
        <v>87.221989050777708</v>
      </c>
      <c r="P61">
        <f t="shared" si="30"/>
        <v>87.270517107270095</v>
      </c>
      <c r="Q61">
        <f t="shared" si="30"/>
        <v>88.897764205826419</v>
      </c>
      <c r="R61">
        <f t="shared" si="30"/>
        <v>87.435795378206393</v>
      </c>
      <c r="S61">
        <f t="shared" si="30"/>
        <v>87.247001574567491</v>
      </c>
      <c r="T61">
        <f t="shared" si="30"/>
        <v>87.329085178016712</v>
      </c>
      <c r="U61">
        <f t="shared" si="30"/>
        <v>87.228316960183705</v>
      </c>
      <c r="V61">
        <f t="shared" si="30"/>
        <v>87.660361072656244</v>
      </c>
      <c r="W61">
        <f t="shared" si="30"/>
        <v>87.500349347632792</v>
      </c>
      <c r="X61">
        <f t="shared" si="30"/>
        <v>87.273434801362498</v>
      </c>
      <c r="Y61">
        <f t="shared" si="30"/>
        <v>86.848582224808922</v>
      </c>
      <c r="Z61">
        <f t="shared" si="30"/>
        <v>86.602627383410564</v>
      </c>
    </row>
    <row r="62" spans="1:26" x14ac:dyDescent="0.35">
      <c r="B62" t="str">
        <f>B53</f>
        <v>КПД ЦНД</v>
      </c>
      <c r="C62">
        <f t="shared" ref="C62:Z62" si="31">C53</f>
        <v>0.71285737734156329</v>
      </c>
      <c r="D62">
        <f t="shared" si="31"/>
        <v>0.71176006042473139</v>
      </c>
      <c r="E62">
        <f t="shared" si="31"/>
        <v>0.71299110674531008</v>
      </c>
      <c r="F62">
        <f t="shared" si="31"/>
        <v>0.71367701457000521</v>
      </c>
      <c r="G62">
        <f t="shared" si="31"/>
        <v>0.7249714436813629</v>
      </c>
      <c r="H62">
        <f t="shared" si="31"/>
        <v>0.72923320414461013</v>
      </c>
      <c r="I62">
        <f t="shared" si="31"/>
        <v>0.71816913659243165</v>
      </c>
      <c r="J62">
        <f t="shared" si="31"/>
        <v>0.71628874448890889</v>
      </c>
      <c r="K62">
        <f t="shared" si="31"/>
        <v>0.71605259824407563</v>
      </c>
      <c r="L62">
        <f t="shared" si="31"/>
        <v>0.72229729084584471</v>
      </c>
      <c r="M62">
        <f t="shared" si="31"/>
        <v>0.72678745360735753</v>
      </c>
      <c r="N62">
        <f t="shared" si="31"/>
        <v>0.72613217584188605</v>
      </c>
      <c r="O62">
        <f t="shared" si="31"/>
        <v>0.71841941437485812</v>
      </c>
      <c r="P62">
        <f t="shared" si="31"/>
        <v>0.71746257219888998</v>
      </c>
      <c r="Q62">
        <f t="shared" si="31"/>
        <v>0.72835487464792881</v>
      </c>
      <c r="R62">
        <f t="shared" si="31"/>
        <v>0.71895959943997345</v>
      </c>
      <c r="S62">
        <f t="shared" si="31"/>
        <v>0.72530650083312076</v>
      </c>
      <c r="T62">
        <f t="shared" si="31"/>
        <v>0.72311342744817164</v>
      </c>
      <c r="U62">
        <f t="shared" si="31"/>
        <v>0.72300195758193919</v>
      </c>
      <c r="V62">
        <f t="shared" si="31"/>
        <v>0.72627003017833369</v>
      </c>
      <c r="W62">
        <f t="shared" si="31"/>
        <v>0.72261212015984089</v>
      </c>
      <c r="X62">
        <f t="shared" si="31"/>
        <v>0.72846324413208419</v>
      </c>
      <c r="Y62">
        <f t="shared" si="31"/>
        <v>0.73580709461544236</v>
      </c>
      <c r="Z62">
        <f t="shared" si="31"/>
        <v>0.73822114038813613</v>
      </c>
    </row>
    <row r="67" spans="2:26" x14ac:dyDescent="0.35">
      <c r="B67" t="s">
        <v>87</v>
      </c>
      <c r="C67">
        <f t="shared" ref="C67:Z67" si="32">C4+C8</f>
        <v>52.54</v>
      </c>
      <c r="D67">
        <f t="shared" si="32"/>
        <v>53.71</v>
      </c>
      <c r="E67">
        <f t="shared" si="32"/>
        <v>55.54</v>
      </c>
      <c r="F67">
        <f t="shared" si="32"/>
        <v>55.36</v>
      </c>
      <c r="G67">
        <f t="shared" si="32"/>
        <v>53.34</v>
      </c>
      <c r="H67">
        <f t="shared" si="32"/>
        <v>50.45</v>
      </c>
      <c r="I67">
        <f t="shared" si="32"/>
        <v>64.489999999999995</v>
      </c>
      <c r="J67">
        <f t="shared" si="32"/>
        <v>65.87</v>
      </c>
      <c r="K67">
        <f t="shared" si="32"/>
        <v>68.069999999999993</v>
      </c>
      <c r="L67">
        <f t="shared" si="32"/>
        <v>67.489999999999995</v>
      </c>
      <c r="M67">
        <f t="shared" si="32"/>
        <v>65.150000000000006</v>
      </c>
      <c r="N67">
        <f t="shared" si="32"/>
        <v>61.77</v>
      </c>
      <c r="O67">
        <f t="shared" si="32"/>
        <v>77.02</v>
      </c>
      <c r="P67">
        <f t="shared" si="32"/>
        <v>76.78</v>
      </c>
      <c r="Q67">
        <f t="shared" si="32"/>
        <v>78.47</v>
      </c>
      <c r="R67">
        <f t="shared" si="32"/>
        <v>79.64</v>
      </c>
      <c r="S67">
        <f t="shared" si="32"/>
        <v>80.92</v>
      </c>
      <c r="T67">
        <f t="shared" si="32"/>
        <v>79.930000000000007</v>
      </c>
      <c r="U67">
        <f t="shared" si="32"/>
        <v>79.830000000000013</v>
      </c>
      <c r="V67">
        <f t="shared" si="32"/>
        <v>78.16</v>
      </c>
      <c r="W67">
        <f t="shared" si="32"/>
        <v>77.12</v>
      </c>
      <c r="X67">
        <f t="shared" si="32"/>
        <v>77.16</v>
      </c>
      <c r="Y67">
        <f t="shared" si="32"/>
        <v>73.240000000000009</v>
      </c>
      <c r="Z67">
        <f t="shared" si="32"/>
        <v>73.23</v>
      </c>
    </row>
    <row r="68" spans="2:26" x14ac:dyDescent="0.35">
      <c r="B68" t="s">
        <v>88</v>
      </c>
      <c r="C68">
        <f>C28</f>
        <v>52.3</v>
      </c>
      <c r="D68">
        <f t="shared" ref="D68:Z68" si="33">D28</f>
        <v>53.5</v>
      </c>
      <c r="E68">
        <f t="shared" si="33"/>
        <v>55.33</v>
      </c>
      <c r="F68">
        <f t="shared" si="33"/>
        <v>55.17</v>
      </c>
      <c r="G68">
        <f t="shared" si="33"/>
        <v>53.14</v>
      </c>
      <c r="H68">
        <f t="shared" si="33"/>
        <v>50.25</v>
      </c>
      <c r="I68">
        <f t="shared" si="33"/>
        <v>64.25</v>
      </c>
      <c r="J68">
        <f t="shared" si="33"/>
        <v>65.61</v>
      </c>
      <c r="K68">
        <f t="shared" si="33"/>
        <v>67.81</v>
      </c>
      <c r="L68">
        <f t="shared" si="33"/>
        <v>67.22</v>
      </c>
      <c r="M68">
        <f t="shared" si="33"/>
        <v>64.89</v>
      </c>
      <c r="N68">
        <f t="shared" si="33"/>
        <v>61.55</v>
      </c>
      <c r="O68">
        <f t="shared" si="33"/>
        <v>76.73</v>
      </c>
      <c r="P68">
        <f t="shared" si="33"/>
        <v>76.489999999999995</v>
      </c>
      <c r="Q68">
        <f t="shared" si="33"/>
        <v>78.17</v>
      </c>
      <c r="R68">
        <f t="shared" si="33"/>
        <v>79.33</v>
      </c>
      <c r="S68">
        <f t="shared" si="33"/>
        <v>80.61</v>
      </c>
      <c r="T68">
        <f t="shared" si="33"/>
        <v>79.62</v>
      </c>
      <c r="U68">
        <f t="shared" si="33"/>
        <v>79.52</v>
      </c>
      <c r="V68">
        <f t="shared" si="33"/>
        <v>78.16</v>
      </c>
      <c r="W68">
        <f t="shared" si="33"/>
        <v>76.819999999999993</v>
      </c>
      <c r="X68">
        <f t="shared" si="33"/>
        <v>76.86</v>
      </c>
      <c r="Y68">
        <f t="shared" si="33"/>
        <v>72.94</v>
      </c>
      <c r="Z68">
        <f t="shared" si="33"/>
        <v>72.94</v>
      </c>
    </row>
    <row r="69" spans="2:26" x14ac:dyDescent="0.35">
      <c r="B69" t="s">
        <v>89</v>
      </c>
      <c r="C69">
        <f>C67-C68</f>
        <v>0.24000000000000199</v>
      </c>
      <c r="D69">
        <f t="shared" ref="D69:Z69" si="34">D67-D68</f>
        <v>0.21000000000000085</v>
      </c>
      <c r="E69">
        <f t="shared" si="34"/>
        <v>0.21000000000000085</v>
      </c>
      <c r="F69">
        <f t="shared" si="34"/>
        <v>0.18999999999999773</v>
      </c>
      <c r="G69">
        <f t="shared" si="34"/>
        <v>0.20000000000000284</v>
      </c>
      <c r="H69">
        <f t="shared" si="34"/>
        <v>0.20000000000000284</v>
      </c>
      <c r="I69">
        <f t="shared" si="34"/>
        <v>0.23999999999999488</v>
      </c>
      <c r="J69">
        <f t="shared" si="34"/>
        <v>0.26000000000000512</v>
      </c>
      <c r="K69">
        <f t="shared" si="34"/>
        <v>0.25999999999999091</v>
      </c>
      <c r="L69">
        <f t="shared" si="34"/>
        <v>0.26999999999999602</v>
      </c>
      <c r="M69">
        <f t="shared" si="34"/>
        <v>0.26000000000000512</v>
      </c>
      <c r="N69">
        <f t="shared" si="34"/>
        <v>0.22000000000000597</v>
      </c>
      <c r="O69">
        <f t="shared" si="34"/>
        <v>0.28999999999999204</v>
      </c>
      <c r="P69">
        <f t="shared" si="34"/>
        <v>0.29000000000000625</v>
      </c>
      <c r="Q69">
        <f t="shared" si="34"/>
        <v>0.29999999999999716</v>
      </c>
      <c r="R69">
        <f t="shared" si="34"/>
        <v>0.31000000000000227</v>
      </c>
      <c r="S69">
        <f t="shared" si="34"/>
        <v>0.31000000000000227</v>
      </c>
      <c r="T69">
        <f t="shared" si="34"/>
        <v>0.31000000000000227</v>
      </c>
      <c r="U69">
        <f t="shared" si="34"/>
        <v>0.31000000000001648</v>
      </c>
      <c r="V69">
        <f t="shared" si="34"/>
        <v>0</v>
      </c>
      <c r="W69">
        <f t="shared" si="34"/>
        <v>0.30000000000001137</v>
      </c>
      <c r="X69">
        <f t="shared" si="34"/>
        <v>0.29999999999999716</v>
      </c>
      <c r="Y69">
        <f t="shared" si="34"/>
        <v>0.30000000000001137</v>
      </c>
      <c r="Z69">
        <f t="shared" si="34"/>
        <v>0.29000000000000625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DE698-8E03-4106-955A-E67F477EFCC9}">
  <dimension ref="A3:H47"/>
  <sheetViews>
    <sheetView zoomScale="85" zoomScaleNormal="85" workbookViewId="0">
      <selection activeCell="D56" sqref="D56"/>
    </sheetView>
  </sheetViews>
  <sheetFormatPr defaultRowHeight="14.5" x14ac:dyDescent="0.35"/>
  <cols>
    <col min="2" max="2" width="27" bestFit="1" customWidth="1"/>
  </cols>
  <sheetData>
    <row r="3" spans="2:8" x14ac:dyDescent="0.35">
      <c r="B3" t="s">
        <v>10</v>
      </c>
      <c r="C3">
        <v>833.3</v>
      </c>
      <c r="D3">
        <v>833.3</v>
      </c>
      <c r="E3">
        <v>833.3</v>
      </c>
      <c r="F3">
        <v>833.3</v>
      </c>
      <c r="G3">
        <v>833.3</v>
      </c>
      <c r="H3">
        <v>833.3</v>
      </c>
    </row>
    <row r="4" spans="2:8" x14ac:dyDescent="0.35">
      <c r="B4" t="s">
        <v>11</v>
      </c>
      <c r="C4">
        <v>112.9</v>
      </c>
      <c r="D4">
        <v>114</v>
      </c>
      <c r="E4">
        <v>114.7</v>
      </c>
      <c r="F4">
        <v>116.8</v>
      </c>
      <c r="G4">
        <v>118.3</v>
      </c>
      <c r="H4">
        <v>116.8</v>
      </c>
    </row>
    <row r="5" spans="2:8" x14ac:dyDescent="0.35">
      <c r="B5" t="s">
        <v>12</v>
      </c>
      <c r="C5">
        <v>49.2</v>
      </c>
      <c r="D5">
        <v>41.7</v>
      </c>
      <c r="E5">
        <v>36.700000000000003</v>
      </c>
      <c r="F5">
        <v>22.5</v>
      </c>
      <c r="G5">
        <v>11.7</v>
      </c>
      <c r="H5">
        <v>22.5</v>
      </c>
    </row>
    <row r="6" spans="2:8" x14ac:dyDescent="0.35">
      <c r="C6">
        <f t="shared" ref="C6:H6" si="0">C3-C5</f>
        <v>784.09999999999991</v>
      </c>
      <c r="D6">
        <f t="shared" si="0"/>
        <v>791.59999999999991</v>
      </c>
      <c r="E6">
        <f t="shared" si="0"/>
        <v>796.59999999999991</v>
      </c>
      <c r="F6">
        <f t="shared" si="0"/>
        <v>810.8</v>
      </c>
      <c r="G6">
        <f t="shared" si="0"/>
        <v>821.59999999999991</v>
      </c>
      <c r="H6">
        <f t="shared" si="0"/>
        <v>810.8</v>
      </c>
    </row>
    <row r="7" spans="2:8" x14ac:dyDescent="0.35">
      <c r="B7" t="s">
        <v>15</v>
      </c>
      <c r="C7">
        <v>68.989999999999995</v>
      </c>
      <c r="D7">
        <v>74.42</v>
      </c>
      <c r="E7">
        <v>59.51</v>
      </c>
      <c r="F7">
        <v>48.88</v>
      </c>
      <c r="G7">
        <v>101.8</v>
      </c>
      <c r="H7">
        <v>101.58</v>
      </c>
    </row>
    <row r="8" spans="2:8" x14ac:dyDescent="0.35">
      <c r="B8" t="s">
        <v>16</v>
      </c>
      <c r="C8">
        <v>59.33</v>
      </c>
      <c r="D8">
        <v>64</v>
      </c>
      <c r="E8">
        <v>51.18</v>
      </c>
      <c r="F8">
        <v>42.04</v>
      </c>
      <c r="G8">
        <v>87.55</v>
      </c>
      <c r="H8">
        <v>87.36</v>
      </c>
    </row>
    <row r="9" spans="2:8" x14ac:dyDescent="0.35">
      <c r="B9" t="s">
        <v>17</v>
      </c>
      <c r="C9">
        <v>39.729999999999997</v>
      </c>
      <c r="D9">
        <v>36.479999999999997</v>
      </c>
      <c r="E9">
        <v>55.99</v>
      </c>
      <c r="F9">
        <v>66.97</v>
      </c>
      <c r="G9">
        <v>0</v>
      </c>
      <c r="H9">
        <v>0</v>
      </c>
    </row>
    <row r="10" spans="2:8" x14ac:dyDescent="0.35">
      <c r="B10" t="s">
        <v>16</v>
      </c>
      <c r="C10">
        <v>34.17</v>
      </c>
      <c r="D10">
        <v>31.37</v>
      </c>
      <c r="E10">
        <v>48.15</v>
      </c>
      <c r="F10">
        <v>57.59</v>
      </c>
      <c r="G10">
        <v>0</v>
      </c>
      <c r="H10">
        <v>0</v>
      </c>
    </row>
    <row r="11" spans="2:8" x14ac:dyDescent="0.35">
      <c r="B11" t="s">
        <v>18</v>
      </c>
      <c r="C11">
        <v>3.23</v>
      </c>
      <c r="D11">
        <v>4.87</v>
      </c>
      <c r="E11">
        <v>4.1399999999999997</v>
      </c>
      <c r="F11">
        <v>2.6</v>
      </c>
      <c r="G11">
        <v>5.33</v>
      </c>
      <c r="H11">
        <v>4.4800000000000004</v>
      </c>
    </row>
    <row r="12" spans="2:8" x14ac:dyDescent="0.35">
      <c r="B12" t="s">
        <v>16</v>
      </c>
      <c r="C12">
        <v>2.78</v>
      </c>
      <c r="D12">
        <v>4.1900000000000004</v>
      </c>
      <c r="E12">
        <v>3.56</v>
      </c>
      <c r="F12">
        <v>2.2400000000000002</v>
      </c>
      <c r="G12">
        <v>4.58</v>
      </c>
      <c r="H12">
        <v>3.85</v>
      </c>
    </row>
    <row r="15" spans="2:8" x14ac:dyDescent="0.35">
      <c r="B15" t="s">
        <v>50</v>
      </c>
    </row>
    <row r="16" spans="2:8" x14ac:dyDescent="0.35">
      <c r="B16" t="s">
        <v>1</v>
      </c>
      <c r="C16">
        <v>41.97</v>
      </c>
      <c r="D16">
        <v>42.97</v>
      </c>
      <c r="E16">
        <v>44.5</v>
      </c>
      <c r="F16">
        <v>44.44</v>
      </c>
      <c r="G16">
        <v>43.17</v>
      </c>
      <c r="H16">
        <v>41.42</v>
      </c>
    </row>
    <row r="17" spans="2:8" x14ac:dyDescent="0.35">
      <c r="B17" t="s">
        <v>2</v>
      </c>
      <c r="C17">
        <v>5.1989999999999998</v>
      </c>
      <c r="D17">
        <v>5.3310000000000004</v>
      </c>
      <c r="E17">
        <v>5.5289999999999999</v>
      </c>
      <c r="F17">
        <v>5.53</v>
      </c>
      <c r="G17">
        <v>5.4039999999999999</v>
      </c>
      <c r="H17">
        <v>5.2460000000000004</v>
      </c>
    </row>
    <row r="18" spans="2:8" x14ac:dyDescent="0.35">
      <c r="B18" t="s">
        <v>51</v>
      </c>
      <c r="C18">
        <v>492.2</v>
      </c>
      <c r="D18">
        <v>495</v>
      </c>
      <c r="E18">
        <v>499</v>
      </c>
      <c r="F18">
        <v>500.9</v>
      </c>
      <c r="G18">
        <v>507.8</v>
      </c>
      <c r="H18">
        <v>522.1</v>
      </c>
    </row>
    <row r="19" spans="2:8" x14ac:dyDescent="0.35">
      <c r="B19" t="s">
        <v>52</v>
      </c>
    </row>
    <row r="20" spans="2:8" x14ac:dyDescent="0.35">
      <c r="B20" t="s">
        <v>1</v>
      </c>
      <c r="C20">
        <v>10.57</v>
      </c>
      <c r="D20">
        <v>10.74</v>
      </c>
      <c r="E20">
        <v>11.04</v>
      </c>
      <c r="F20">
        <v>10.92</v>
      </c>
      <c r="G20">
        <v>10.17</v>
      </c>
      <c r="H20">
        <v>9.0299999999999994</v>
      </c>
    </row>
    <row r="21" spans="2:8" x14ac:dyDescent="0.35">
      <c r="B21" t="s">
        <v>2</v>
      </c>
      <c r="C21">
        <v>0.4</v>
      </c>
      <c r="D21">
        <v>0.4</v>
      </c>
      <c r="E21">
        <v>0.4</v>
      </c>
      <c r="F21">
        <v>0.4</v>
      </c>
      <c r="G21">
        <v>0.4</v>
      </c>
      <c r="H21">
        <v>0.4</v>
      </c>
    </row>
    <row r="22" spans="2:8" x14ac:dyDescent="0.35">
      <c r="B22" t="s">
        <v>3</v>
      </c>
      <c r="C22">
        <v>199.4</v>
      </c>
      <c r="D22">
        <v>199.6</v>
      </c>
      <c r="E22">
        <v>199.8</v>
      </c>
      <c r="F22">
        <v>199.7</v>
      </c>
      <c r="G22">
        <v>199</v>
      </c>
      <c r="H22">
        <v>197.8</v>
      </c>
    </row>
    <row r="23" spans="2:8" x14ac:dyDescent="0.35">
      <c r="B23" t="s">
        <v>13</v>
      </c>
      <c r="C23">
        <v>103.2</v>
      </c>
      <c r="D23">
        <v>104.1</v>
      </c>
      <c r="E23">
        <v>89.4</v>
      </c>
      <c r="F23">
        <v>81.8</v>
      </c>
      <c r="G23">
        <v>72</v>
      </c>
      <c r="H23">
        <v>72</v>
      </c>
    </row>
    <row r="24" spans="2:8" x14ac:dyDescent="0.35">
      <c r="B24" t="s">
        <v>14</v>
      </c>
      <c r="C24">
        <v>69</v>
      </c>
      <c r="D24">
        <v>69</v>
      </c>
      <c r="E24">
        <v>53.1</v>
      </c>
      <c r="F24">
        <v>46</v>
      </c>
      <c r="G24">
        <v>40</v>
      </c>
      <c r="H24">
        <v>40</v>
      </c>
    </row>
    <row r="25" spans="2:8" x14ac:dyDescent="0.35">
      <c r="B25" t="s">
        <v>10</v>
      </c>
      <c r="C25">
        <f t="shared" ref="C25:H25" si="1">C6</f>
        <v>784.09999999999991</v>
      </c>
      <c r="D25">
        <f t="shared" si="1"/>
        <v>791.59999999999991</v>
      </c>
      <c r="E25">
        <f t="shared" si="1"/>
        <v>796.59999999999991</v>
      </c>
      <c r="F25">
        <f t="shared" si="1"/>
        <v>810.8</v>
      </c>
      <c r="G25">
        <f t="shared" si="1"/>
        <v>821.59999999999991</v>
      </c>
      <c r="H25">
        <f t="shared" si="1"/>
        <v>810.8</v>
      </c>
    </row>
    <row r="27" spans="2:8" x14ac:dyDescent="0.35">
      <c r="B27" t="s">
        <v>53</v>
      </c>
      <c r="C27">
        <f>[1]!PropsSI("H","T",C18+273.15,"P",C17*10^6,"Water")/1000</f>
        <v>3414.0936824129262</v>
      </c>
      <c r="D27">
        <f>[1]!PropsSI("H","T",D18+273.15,"P",D17*10^6,"Water")/1000</f>
        <v>3419.1110348616726</v>
      </c>
      <c r="E27">
        <f>[1]!PropsSI("H","T",E18+273.15,"P",E17*10^6,"Water")/1000</f>
        <v>3426.215447531034</v>
      </c>
      <c r="F27">
        <f>[1]!PropsSI("H","T",F18+273.15,"P",F17*10^6,"Water")/1000</f>
        <v>3430.6810594860967</v>
      </c>
      <c r="G27">
        <f>[1]!PropsSI("H","T",G18+273.15,"P",G17*10^6,"Water")/1000</f>
        <v>3448.3317199181238</v>
      </c>
      <c r="H27">
        <f>[1]!PropsSI("H","T",H18+273.15,"P",H17*10^6,"Water")/1000</f>
        <v>3483.5075944401037</v>
      </c>
    </row>
    <row r="28" spans="2:8" x14ac:dyDescent="0.35">
      <c r="B28" t="s">
        <v>54</v>
      </c>
      <c r="C28">
        <f>[1]!PropsSI("H","T",C22+273.15,"P",C21*10^6,"Water")/1000</f>
        <v>2859.6691118398307</v>
      </c>
      <c r="D28">
        <f>[1]!PropsSI("H","T",D22+273.15,"P",D21*10^6,"Water")/1000</f>
        <v>2860.088650191512</v>
      </c>
      <c r="E28">
        <f>[1]!PropsSI("H","T",E22+273.15,"P",E21*10^6,"Water")/1000</f>
        <v>2860.5081249383179</v>
      </c>
      <c r="F28">
        <f>[1]!PropsSI("H","T",F22+273.15,"P",F21*10^6,"Water")/1000</f>
        <v>2860.298395494448</v>
      </c>
      <c r="G28">
        <f>[1]!PropsSI("H","T",G22+273.15,"P",G21*10^6,"Water")/1000</f>
        <v>2858.8298429671418</v>
      </c>
      <c r="H28">
        <f>[1]!PropsSI("H","T",H22+273.15,"P",H21*10^6,"Water")/1000</f>
        <v>2856.3104743064582</v>
      </c>
    </row>
    <row r="29" spans="2:8" x14ac:dyDescent="0.35">
      <c r="B29" t="s">
        <v>55</v>
      </c>
      <c r="C29">
        <f t="shared" ref="C29:H29" si="2">C16</f>
        <v>41.97</v>
      </c>
      <c r="D29">
        <f t="shared" si="2"/>
        <v>42.97</v>
      </c>
      <c r="E29">
        <f t="shared" si="2"/>
        <v>44.5</v>
      </c>
      <c r="F29">
        <f t="shared" si="2"/>
        <v>44.44</v>
      </c>
      <c r="G29">
        <f t="shared" si="2"/>
        <v>43.17</v>
      </c>
      <c r="H29">
        <f t="shared" si="2"/>
        <v>41.42</v>
      </c>
    </row>
    <row r="30" spans="2:8" x14ac:dyDescent="0.35">
      <c r="B30" t="s">
        <v>56</v>
      </c>
      <c r="C30">
        <f>C20</f>
        <v>10.57</v>
      </c>
      <c r="D30">
        <f t="shared" ref="D30:H30" si="3">D20</f>
        <v>10.74</v>
      </c>
      <c r="E30">
        <f t="shared" si="3"/>
        <v>11.04</v>
      </c>
      <c r="F30">
        <f t="shared" si="3"/>
        <v>10.92</v>
      </c>
      <c r="G30">
        <f t="shared" si="3"/>
        <v>10.17</v>
      </c>
      <c r="H30">
        <f t="shared" si="3"/>
        <v>9.0299999999999994</v>
      </c>
    </row>
    <row r="31" spans="2:8" x14ac:dyDescent="0.35">
      <c r="B31" t="s">
        <v>57</v>
      </c>
      <c r="C31">
        <f t="shared" ref="C31:H31" si="4">C18</f>
        <v>492.2</v>
      </c>
      <c r="D31">
        <f t="shared" si="4"/>
        <v>495</v>
      </c>
      <c r="E31">
        <f t="shared" si="4"/>
        <v>499</v>
      </c>
      <c r="F31">
        <f t="shared" si="4"/>
        <v>500.9</v>
      </c>
      <c r="G31">
        <f t="shared" si="4"/>
        <v>507.8</v>
      </c>
      <c r="H31">
        <f t="shared" si="4"/>
        <v>522.1</v>
      </c>
    </row>
    <row r="32" spans="2:8" x14ac:dyDescent="0.35">
      <c r="B32" t="s">
        <v>58</v>
      </c>
      <c r="C32">
        <f>C22</f>
        <v>199.4</v>
      </c>
      <c r="D32">
        <f t="shared" ref="D32:H32" si="5">D22</f>
        <v>199.6</v>
      </c>
      <c r="E32">
        <f t="shared" si="5"/>
        <v>199.8</v>
      </c>
      <c r="F32">
        <f t="shared" si="5"/>
        <v>199.7</v>
      </c>
      <c r="G32">
        <f t="shared" si="5"/>
        <v>199</v>
      </c>
      <c r="H32">
        <f t="shared" si="5"/>
        <v>197.8</v>
      </c>
    </row>
    <row r="33" spans="1:8" x14ac:dyDescent="0.35">
      <c r="B33" t="s">
        <v>59</v>
      </c>
      <c r="C33">
        <f>C25</f>
        <v>784.09999999999991</v>
      </c>
      <c r="D33">
        <f t="shared" ref="D33:H33" si="6">D25</f>
        <v>791.59999999999991</v>
      </c>
      <c r="E33">
        <f t="shared" si="6"/>
        <v>796.59999999999991</v>
      </c>
      <c r="F33">
        <f t="shared" si="6"/>
        <v>810.8</v>
      </c>
      <c r="G33">
        <f t="shared" si="6"/>
        <v>821.59999999999991</v>
      </c>
      <c r="H33">
        <f t="shared" si="6"/>
        <v>810.8</v>
      </c>
    </row>
    <row r="34" spans="1:8" x14ac:dyDescent="0.35">
      <c r="B34" t="s">
        <v>60</v>
      </c>
      <c r="C34">
        <f>C24</f>
        <v>69</v>
      </c>
      <c r="D34">
        <f t="shared" ref="D34:H34" si="7">D24</f>
        <v>69</v>
      </c>
      <c r="E34">
        <f t="shared" si="7"/>
        <v>53.1</v>
      </c>
      <c r="F34">
        <f t="shared" si="7"/>
        <v>46</v>
      </c>
      <c r="G34">
        <f t="shared" si="7"/>
        <v>40</v>
      </c>
      <c r="H34">
        <f t="shared" si="7"/>
        <v>40</v>
      </c>
    </row>
    <row r="35" spans="1:8" x14ac:dyDescent="0.35">
      <c r="B35" t="s">
        <v>61</v>
      </c>
      <c r="C35">
        <f>C23</f>
        <v>103.2</v>
      </c>
      <c r="D35">
        <f t="shared" ref="D35:H35" si="8">D23</f>
        <v>104.1</v>
      </c>
      <c r="E35">
        <f t="shared" si="8"/>
        <v>89.4</v>
      </c>
      <c r="F35">
        <f t="shared" si="8"/>
        <v>81.8</v>
      </c>
      <c r="G35">
        <f t="shared" si="8"/>
        <v>72</v>
      </c>
      <c r="H35">
        <f t="shared" si="8"/>
        <v>72</v>
      </c>
    </row>
    <row r="36" spans="1:8" x14ac:dyDescent="0.35">
      <c r="B36" t="s">
        <v>62</v>
      </c>
      <c r="C36">
        <f>C25</f>
        <v>784.09999999999991</v>
      </c>
      <c r="D36">
        <f t="shared" ref="D36:H36" si="9">D25</f>
        <v>791.59999999999991</v>
      </c>
      <c r="E36">
        <f t="shared" si="9"/>
        <v>796.59999999999991</v>
      </c>
      <c r="F36">
        <f t="shared" si="9"/>
        <v>810.8</v>
      </c>
      <c r="G36">
        <f t="shared" si="9"/>
        <v>821.59999999999991</v>
      </c>
      <c r="H36">
        <f t="shared" si="9"/>
        <v>810.8</v>
      </c>
    </row>
    <row r="37" spans="1:8" x14ac:dyDescent="0.35">
      <c r="A37">
        <v>17</v>
      </c>
      <c r="B37" t="s">
        <v>93</v>
      </c>
      <c r="C37">
        <v>1.6999999999999999E-3</v>
      </c>
      <c r="D37">
        <v>2.0999999999999999E-3</v>
      </c>
      <c r="E37">
        <v>2.3999999999999998E-3</v>
      </c>
      <c r="F37">
        <v>2.7000000000000001E-3</v>
      </c>
      <c r="G37">
        <v>3.8999999999999998E-3</v>
      </c>
      <c r="H37">
        <v>8.5000000000000006E-3</v>
      </c>
    </row>
    <row r="40" spans="1:8" x14ac:dyDescent="0.35">
      <c r="A40">
        <v>13</v>
      </c>
      <c r="B40" t="s">
        <v>0</v>
      </c>
    </row>
    <row r="41" spans="1:8" x14ac:dyDescent="0.35">
      <c r="B41" t="s">
        <v>1</v>
      </c>
      <c r="C41">
        <v>17.62</v>
      </c>
      <c r="D41">
        <v>16.23</v>
      </c>
      <c r="E41">
        <v>25</v>
      </c>
      <c r="F41">
        <v>29.86</v>
      </c>
      <c r="G41">
        <v>0</v>
      </c>
      <c r="H41">
        <v>0</v>
      </c>
    </row>
    <row r="42" spans="1:8" x14ac:dyDescent="0.35">
      <c r="B42" t="s">
        <v>2</v>
      </c>
      <c r="C42">
        <v>0.13089999999999999</v>
      </c>
      <c r="D42">
        <v>0.13439999999999999</v>
      </c>
      <c r="E42">
        <v>8.4900000000000003E-2</v>
      </c>
      <c r="F42">
        <v>6.4899999999999999E-2</v>
      </c>
      <c r="G42">
        <v>0.14760000000000001</v>
      </c>
      <c r="H42">
        <v>0.14910000000000001</v>
      </c>
    </row>
    <row r="43" spans="1:8" x14ac:dyDescent="0.35">
      <c r="B43" t="s">
        <v>3</v>
      </c>
      <c r="C43">
        <v>116.1</v>
      </c>
      <c r="D43">
        <v>114.4</v>
      </c>
      <c r="E43">
        <v>95.1</v>
      </c>
      <c r="F43">
        <v>87.9</v>
      </c>
      <c r="G43">
        <v>122.5</v>
      </c>
      <c r="H43">
        <v>132.69999999999999</v>
      </c>
    </row>
    <row r="44" spans="1:8" x14ac:dyDescent="0.35">
      <c r="A44">
        <v>14</v>
      </c>
      <c r="B44" t="s">
        <v>4</v>
      </c>
    </row>
    <row r="45" spans="1:8" x14ac:dyDescent="0.35">
      <c r="B45" t="s">
        <v>1</v>
      </c>
      <c r="C45">
        <v>30.28</v>
      </c>
      <c r="D45">
        <v>32.83</v>
      </c>
      <c r="E45">
        <v>25.9</v>
      </c>
      <c r="F45">
        <v>20.86</v>
      </c>
      <c r="G45">
        <v>45.45</v>
      </c>
      <c r="H45">
        <v>44.72</v>
      </c>
    </row>
    <row r="46" spans="1:8" x14ac:dyDescent="0.35">
      <c r="B46" t="s">
        <v>2</v>
      </c>
      <c r="C46">
        <v>9.6299999999999997E-2</v>
      </c>
      <c r="D46">
        <v>9.5200000000000007E-2</v>
      </c>
      <c r="E46">
        <v>4.3900000000000002E-2</v>
      </c>
      <c r="F46">
        <v>3.0300000000000001E-2</v>
      </c>
      <c r="G46">
        <v>4.6199999999999998E-2</v>
      </c>
      <c r="H46">
        <v>5.7799999999999997E-2</v>
      </c>
    </row>
    <row r="47" spans="1:8" x14ac:dyDescent="0.35">
      <c r="B47" t="s">
        <v>3</v>
      </c>
      <c r="C47">
        <v>98.6</v>
      </c>
      <c r="D47">
        <v>98.2</v>
      </c>
      <c r="E47">
        <v>78.099999999999994</v>
      </c>
      <c r="F47">
        <v>69.3</v>
      </c>
      <c r="G47">
        <v>79.400000000000006</v>
      </c>
      <c r="H47">
        <v>84.9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"/>
  <sheetViews>
    <sheetView zoomScale="85" zoomScaleNormal="85" workbookViewId="0">
      <selection activeCell="K22" sqref="K22"/>
    </sheetView>
  </sheetViews>
  <sheetFormatPr defaultRowHeight="14.5" x14ac:dyDescent="0.35"/>
  <cols>
    <col min="2" max="2" width="35.08984375" bestFit="1" customWidth="1"/>
    <col min="12" max="12" width="37" bestFit="1" customWidth="1"/>
  </cols>
  <sheetData>
    <row r="1" spans="1:23" x14ac:dyDescent="0.35">
      <c r="D1" s="1">
        <v>0.5</v>
      </c>
      <c r="M1" s="1">
        <v>1</v>
      </c>
    </row>
    <row r="2" spans="1:23" x14ac:dyDescent="0.35">
      <c r="C2">
        <v>-40</v>
      </c>
      <c r="D2">
        <v>-28</v>
      </c>
      <c r="E2">
        <v>-10.199999999999999</v>
      </c>
      <c r="F2">
        <v>-3.1</v>
      </c>
      <c r="G2">
        <v>15</v>
      </c>
      <c r="H2">
        <v>37</v>
      </c>
      <c r="M2">
        <v>-40</v>
      </c>
      <c r="N2">
        <v>-28</v>
      </c>
      <c r="O2">
        <v>-20</v>
      </c>
      <c r="P2">
        <v>-10.199999999999999</v>
      </c>
      <c r="Q2">
        <v>-3.1</v>
      </c>
      <c r="R2">
        <v>-2.5</v>
      </c>
      <c r="S2">
        <v>15</v>
      </c>
      <c r="T2">
        <v>37</v>
      </c>
      <c r="U2">
        <v>37</v>
      </c>
      <c r="V2">
        <v>15</v>
      </c>
      <c r="W2">
        <v>37</v>
      </c>
    </row>
    <row r="3" spans="1:23" x14ac:dyDescent="0.35">
      <c r="A3">
        <v>13</v>
      </c>
      <c r="B3" t="s">
        <v>0</v>
      </c>
      <c r="K3">
        <v>13</v>
      </c>
      <c r="L3" t="s">
        <v>0</v>
      </c>
    </row>
    <row r="4" spans="1:23" x14ac:dyDescent="0.35">
      <c r="B4" t="s">
        <v>1</v>
      </c>
      <c r="C4">
        <v>17.62</v>
      </c>
      <c r="D4">
        <v>16.23</v>
      </c>
      <c r="E4">
        <v>25</v>
      </c>
      <c r="F4">
        <v>29.86</v>
      </c>
      <c r="G4">
        <v>0</v>
      </c>
      <c r="H4">
        <v>0</v>
      </c>
      <c r="L4" t="s">
        <v>1</v>
      </c>
      <c r="M4">
        <v>20.190000000000001</v>
      </c>
      <c r="N4">
        <v>20.440000000000001</v>
      </c>
      <c r="O4">
        <v>23.51</v>
      </c>
      <c r="P4">
        <v>30.26</v>
      </c>
      <c r="Q4">
        <v>37.619999999999997</v>
      </c>
      <c r="R4">
        <v>38.22</v>
      </c>
      <c r="S4">
        <v>43</v>
      </c>
      <c r="T4">
        <v>41.91</v>
      </c>
      <c r="U4">
        <v>41.91</v>
      </c>
      <c r="V4">
        <v>0</v>
      </c>
      <c r="W4">
        <v>0</v>
      </c>
    </row>
    <row r="5" spans="1:23" x14ac:dyDescent="0.35">
      <c r="B5" t="s">
        <v>2</v>
      </c>
      <c r="C5">
        <v>0.13089999999999999</v>
      </c>
      <c r="D5">
        <v>0.13439999999999999</v>
      </c>
      <c r="E5">
        <v>8.4900000000000003E-2</v>
      </c>
      <c r="F5">
        <v>6.4899999999999999E-2</v>
      </c>
      <c r="G5">
        <v>0.14760000000000001</v>
      </c>
      <c r="H5">
        <v>0.14910000000000001</v>
      </c>
      <c r="L5" t="s">
        <v>2</v>
      </c>
      <c r="M5">
        <v>0.21629999999999999</v>
      </c>
      <c r="N5">
        <v>0.2225</v>
      </c>
      <c r="O5">
        <v>0.19389999999999999</v>
      </c>
      <c r="P5">
        <v>0.1497</v>
      </c>
      <c r="Q5">
        <v>0.1123</v>
      </c>
      <c r="R5">
        <v>0.1096</v>
      </c>
      <c r="S5">
        <v>8.4599999999999995E-2</v>
      </c>
      <c r="T5">
        <v>7.6700000000000004E-2</v>
      </c>
      <c r="U5">
        <v>7.6700000000000004E-2</v>
      </c>
      <c r="V5">
        <v>0.2046</v>
      </c>
      <c r="W5">
        <v>0.19500000000000001</v>
      </c>
    </row>
    <row r="6" spans="1:23" x14ac:dyDescent="0.35">
      <c r="B6" t="s">
        <v>3</v>
      </c>
      <c r="C6">
        <v>116.1</v>
      </c>
      <c r="D6">
        <v>114.4</v>
      </c>
      <c r="E6">
        <v>95.1</v>
      </c>
      <c r="F6">
        <v>87.9</v>
      </c>
      <c r="G6">
        <v>122.5</v>
      </c>
      <c r="H6">
        <v>132.69999999999999</v>
      </c>
      <c r="L6" t="s">
        <v>3</v>
      </c>
      <c r="M6">
        <v>122.6</v>
      </c>
      <c r="N6">
        <v>123.6</v>
      </c>
      <c r="O6">
        <v>119.2</v>
      </c>
      <c r="P6">
        <v>111.3</v>
      </c>
      <c r="Q6">
        <v>102.9</v>
      </c>
      <c r="R6">
        <v>102.2</v>
      </c>
      <c r="S6">
        <v>95</v>
      </c>
      <c r="T6">
        <v>92.4</v>
      </c>
      <c r="U6">
        <v>92.4</v>
      </c>
      <c r="V6">
        <v>120.9</v>
      </c>
      <c r="W6">
        <v>121.8</v>
      </c>
    </row>
    <row r="7" spans="1:23" x14ac:dyDescent="0.35">
      <c r="A7">
        <v>14</v>
      </c>
      <c r="B7" t="s">
        <v>4</v>
      </c>
      <c r="K7">
        <v>14</v>
      </c>
      <c r="L7" t="s">
        <v>4</v>
      </c>
    </row>
    <row r="8" spans="1:23" x14ac:dyDescent="0.35">
      <c r="B8" t="s">
        <v>1</v>
      </c>
      <c r="C8">
        <v>30.28</v>
      </c>
      <c r="D8">
        <v>32.83</v>
      </c>
      <c r="E8">
        <v>25.9</v>
      </c>
      <c r="F8">
        <v>20.86</v>
      </c>
      <c r="G8">
        <v>45.45</v>
      </c>
      <c r="H8">
        <v>44.72</v>
      </c>
      <c r="L8" t="s">
        <v>1</v>
      </c>
      <c r="M8">
        <v>51.91</v>
      </c>
      <c r="N8">
        <v>53.34</v>
      </c>
      <c r="O8">
        <v>51.53</v>
      </c>
      <c r="P8">
        <v>46.24</v>
      </c>
      <c r="Q8">
        <v>37.96</v>
      </c>
      <c r="R8">
        <v>37.270000000000003</v>
      </c>
      <c r="S8">
        <v>29.59</v>
      </c>
      <c r="T8">
        <v>25.67</v>
      </c>
      <c r="U8">
        <v>26.51</v>
      </c>
      <c r="V8">
        <v>47.22</v>
      </c>
      <c r="W8">
        <v>46.75</v>
      </c>
    </row>
    <row r="9" spans="1:23" x14ac:dyDescent="0.35">
      <c r="B9" t="s">
        <v>2</v>
      </c>
      <c r="C9">
        <v>9.6299999999999997E-2</v>
      </c>
      <c r="D9">
        <v>9.5200000000000007E-2</v>
      </c>
      <c r="E9">
        <v>4.3900000000000002E-2</v>
      </c>
      <c r="F9">
        <v>3.0300000000000001E-2</v>
      </c>
      <c r="G9">
        <v>4.6199999999999998E-2</v>
      </c>
      <c r="H9">
        <v>5.7799999999999997E-2</v>
      </c>
      <c r="L9" t="s">
        <v>2</v>
      </c>
      <c r="M9">
        <v>0.1608</v>
      </c>
      <c r="N9">
        <v>0.16569999999999999</v>
      </c>
      <c r="O9">
        <v>0.13389999999999999</v>
      </c>
      <c r="P9">
        <v>8.6199999999999999E-2</v>
      </c>
      <c r="Q9">
        <v>5.1499999999999997E-2</v>
      </c>
      <c r="R9">
        <v>4.9099999999999998E-2</v>
      </c>
      <c r="S9">
        <v>3.1199999999999999E-2</v>
      </c>
      <c r="T9">
        <v>2.7900000000000001E-2</v>
      </c>
      <c r="U9">
        <v>2.7900000000000001E-2</v>
      </c>
      <c r="V9">
        <v>5.0799999999999998E-2</v>
      </c>
      <c r="W9">
        <v>5.0900000000000001E-2</v>
      </c>
    </row>
    <row r="10" spans="1:23" x14ac:dyDescent="0.35">
      <c r="B10" t="s">
        <v>3</v>
      </c>
      <c r="C10">
        <v>98.6</v>
      </c>
      <c r="D10">
        <v>98.2</v>
      </c>
      <c r="E10">
        <v>78.099999999999994</v>
      </c>
      <c r="F10">
        <v>69.3</v>
      </c>
      <c r="G10">
        <v>79.400000000000006</v>
      </c>
      <c r="H10">
        <v>84.9</v>
      </c>
      <c r="L10" t="s">
        <v>3</v>
      </c>
      <c r="M10">
        <v>113.4</v>
      </c>
      <c r="N10">
        <v>114.4</v>
      </c>
      <c r="O10">
        <v>108</v>
      </c>
      <c r="P10">
        <v>95.5</v>
      </c>
      <c r="Q10">
        <v>82</v>
      </c>
      <c r="R10">
        <v>80.900000000000006</v>
      </c>
      <c r="S10">
        <v>69.900000000000006</v>
      </c>
      <c r="T10">
        <v>67.37</v>
      </c>
      <c r="U10">
        <v>67.37</v>
      </c>
      <c r="V10">
        <v>81.72</v>
      </c>
      <c r="W10">
        <v>81.73</v>
      </c>
    </row>
    <row r="11" spans="1:23" x14ac:dyDescent="0.35">
      <c r="A11">
        <v>15</v>
      </c>
      <c r="B11" t="s">
        <v>5</v>
      </c>
      <c r="K11">
        <v>15</v>
      </c>
      <c r="L11" t="s">
        <v>5</v>
      </c>
    </row>
    <row r="12" spans="1:23" x14ac:dyDescent="0.35">
      <c r="B12" t="s">
        <v>1</v>
      </c>
      <c r="C12">
        <v>4.4400000000000004</v>
      </c>
      <c r="D12">
        <v>4.4400000000000004</v>
      </c>
      <c r="E12">
        <v>4.4400000000000004</v>
      </c>
      <c r="F12">
        <v>4.4400000000000004</v>
      </c>
      <c r="G12">
        <v>7.68</v>
      </c>
      <c r="H12">
        <v>5.52</v>
      </c>
      <c r="L12" t="s">
        <v>1</v>
      </c>
      <c r="M12">
        <v>4.4400000000000004</v>
      </c>
      <c r="N12">
        <v>4.4400000000000004</v>
      </c>
      <c r="O12">
        <v>4.4400000000000004</v>
      </c>
      <c r="P12">
        <v>4.4400000000000004</v>
      </c>
      <c r="Q12">
        <v>4.4400000000000004</v>
      </c>
      <c r="R12">
        <v>4.4400000000000004</v>
      </c>
      <c r="S12">
        <v>4.4400000000000004</v>
      </c>
      <c r="T12">
        <v>4.4400000000000004</v>
      </c>
      <c r="U12">
        <v>4.4400000000000004</v>
      </c>
      <c r="V12">
        <v>29.53</v>
      </c>
      <c r="W12">
        <v>25.8</v>
      </c>
    </row>
    <row r="13" spans="1:23" x14ac:dyDescent="0.35">
      <c r="B13" t="s">
        <v>3</v>
      </c>
      <c r="C13">
        <v>91.3</v>
      </c>
      <c r="D13">
        <v>84.58</v>
      </c>
      <c r="E13">
        <v>35.06</v>
      </c>
      <c r="F13">
        <v>35.39</v>
      </c>
      <c r="G13">
        <v>45.43</v>
      </c>
      <c r="H13">
        <v>68.8</v>
      </c>
      <c r="L13" t="s">
        <v>3</v>
      </c>
      <c r="M13">
        <v>89.57</v>
      </c>
      <c r="N13">
        <v>90.17</v>
      </c>
      <c r="O13">
        <v>74.319999999999993</v>
      </c>
      <c r="P13">
        <v>42.9</v>
      </c>
      <c r="Q13">
        <v>42.72</v>
      </c>
      <c r="R13">
        <v>42.7</v>
      </c>
      <c r="S13">
        <v>42.72</v>
      </c>
      <c r="T13">
        <v>45.8</v>
      </c>
      <c r="U13">
        <v>48</v>
      </c>
      <c r="V13">
        <v>83.56</v>
      </c>
      <c r="W13">
        <v>80.58</v>
      </c>
    </row>
    <row r="14" spans="1:23" x14ac:dyDescent="0.35">
      <c r="B14" t="s">
        <v>6</v>
      </c>
      <c r="C14">
        <v>104.3</v>
      </c>
      <c r="D14">
        <v>103.8</v>
      </c>
      <c r="E14" t="s">
        <v>7</v>
      </c>
      <c r="F14" t="s">
        <v>8</v>
      </c>
      <c r="G14" t="s">
        <v>9</v>
      </c>
      <c r="H14">
        <v>101.7</v>
      </c>
      <c r="L14" t="s">
        <v>19</v>
      </c>
      <c r="M14">
        <v>103.6</v>
      </c>
      <c r="N14">
        <v>103.7</v>
      </c>
      <c r="O14">
        <v>102.42</v>
      </c>
      <c r="P14" t="s">
        <v>20</v>
      </c>
      <c r="Q14" t="s">
        <v>21</v>
      </c>
      <c r="R14" t="s">
        <v>22</v>
      </c>
      <c r="S14" t="s">
        <v>23</v>
      </c>
      <c r="T14" t="s">
        <v>24</v>
      </c>
      <c r="U14" t="s">
        <v>25</v>
      </c>
      <c r="V14" t="s">
        <v>26</v>
      </c>
      <c r="W14" t="s">
        <v>27</v>
      </c>
    </row>
    <row r="15" spans="1:23" x14ac:dyDescent="0.35">
      <c r="B15" t="s">
        <v>10</v>
      </c>
      <c r="C15">
        <v>833.3</v>
      </c>
      <c r="D15">
        <v>833.3</v>
      </c>
      <c r="E15">
        <v>833.3</v>
      </c>
      <c r="F15">
        <v>833.3</v>
      </c>
      <c r="G15">
        <v>833.3</v>
      </c>
      <c r="H15">
        <v>833.3</v>
      </c>
      <c r="L15" t="s">
        <v>28</v>
      </c>
      <c r="M15">
        <v>833.3</v>
      </c>
      <c r="N15">
        <v>833.3</v>
      </c>
      <c r="O15">
        <v>833.3</v>
      </c>
      <c r="P15">
        <v>833.3</v>
      </c>
      <c r="Q15">
        <v>833.3</v>
      </c>
      <c r="R15">
        <v>833.3</v>
      </c>
      <c r="S15">
        <v>833.3</v>
      </c>
      <c r="T15">
        <v>833.3</v>
      </c>
      <c r="U15">
        <v>833.3</v>
      </c>
      <c r="V15">
        <v>833.3</v>
      </c>
      <c r="W15">
        <v>833.3</v>
      </c>
    </row>
    <row r="16" spans="1:23" x14ac:dyDescent="0.35">
      <c r="B16" t="s">
        <v>11</v>
      </c>
      <c r="C16">
        <v>112.9</v>
      </c>
      <c r="D16">
        <v>114</v>
      </c>
      <c r="E16">
        <v>114.7</v>
      </c>
      <c r="F16">
        <v>116.8</v>
      </c>
      <c r="G16">
        <v>118.3</v>
      </c>
      <c r="H16">
        <v>116.8</v>
      </c>
      <c r="L16" t="s">
        <v>11</v>
      </c>
      <c r="M16">
        <v>112.8</v>
      </c>
      <c r="N16">
        <v>113.4</v>
      </c>
      <c r="O16">
        <v>113.3</v>
      </c>
      <c r="P16">
        <v>113</v>
      </c>
      <c r="Q16">
        <v>115.4</v>
      </c>
      <c r="R16">
        <v>115.4</v>
      </c>
      <c r="S16">
        <v>117.3</v>
      </c>
      <c r="T16">
        <v>117.6</v>
      </c>
      <c r="U16">
        <v>423.4</v>
      </c>
      <c r="V16">
        <v>117.7</v>
      </c>
      <c r="W16">
        <v>117.5</v>
      </c>
    </row>
    <row r="17" spans="1:23" x14ac:dyDescent="0.35">
      <c r="B17" t="s">
        <v>12</v>
      </c>
      <c r="C17">
        <v>49.2</v>
      </c>
      <c r="D17">
        <v>41.7</v>
      </c>
      <c r="E17">
        <v>36.700000000000003</v>
      </c>
      <c r="F17">
        <v>22.5</v>
      </c>
      <c r="G17">
        <v>11.7</v>
      </c>
      <c r="H17">
        <v>22.5</v>
      </c>
      <c r="L17" t="s">
        <v>12</v>
      </c>
      <c r="M17">
        <v>50</v>
      </c>
      <c r="N17">
        <v>45.8</v>
      </c>
      <c r="O17">
        <v>52.5</v>
      </c>
      <c r="P17">
        <v>48.3</v>
      </c>
      <c r="Q17">
        <v>31.7</v>
      </c>
      <c r="R17">
        <v>31.7</v>
      </c>
      <c r="S17">
        <v>19.2</v>
      </c>
      <c r="T17">
        <v>16.7</v>
      </c>
      <c r="U17">
        <v>60</v>
      </c>
      <c r="V17">
        <v>15.8</v>
      </c>
      <c r="W17">
        <v>17.5</v>
      </c>
    </row>
    <row r="18" spans="1:23" x14ac:dyDescent="0.35">
      <c r="B18" t="s">
        <v>13</v>
      </c>
      <c r="C18">
        <v>103.2</v>
      </c>
      <c r="D18">
        <v>104.1</v>
      </c>
      <c r="E18">
        <v>89.4</v>
      </c>
      <c r="F18">
        <v>81.8</v>
      </c>
      <c r="G18">
        <v>72</v>
      </c>
      <c r="H18">
        <v>72</v>
      </c>
      <c r="L18" t="s">
        <v>29</v>
      </c>
      <c r="M18">
        <v>120.5</v>
      </c>
      <c r="N18">
        <v>121.5</v>
      </c>
      <c r="O18">
        <v>116.5</v>
      </c>
      <c r="P18">
        <v>107.5</v>
      </c>
      <c r="Q18">
        <v>99.4</v>
      </c>
      <c r="R18">
        <v>98.6</v>
      </c>
      <c r="S18">
        <v>90.9</v>
      </c>
      <c r="T18">
        <v>88</v>
      </c>
      <c r="U18">
        <v>88</v>
      </c>
      <c r="V18">
        <v>73.400000000000006</v>
      </c>
      <c r="W18">
        <v>73.400000000000006</v>
      </c>
    </row>
    <row r="19" spans="1:23" x14ac:dyDescent="0.35">
      <c r="B19" t="s">
        <v>14</v>
      </c>
      <c r="C19">
        <v>69</v>
      </c>
      <c r="D19">
        <v>69</v>
      </c>
      <c r="E19">
        <v>53.1</v>
      </c>
      <c r="F19">
        <v>46</v>
      </c>
      <c r="G19">
        <v>40</v>
      </c>
      <c r="H19">
        <v>40</v>
      </c>
      <c r="L19" t="s">
        <v>30</v>
      </c>
      <c r="M19">
        <v>69</v>
      </c>
      <c r="N19">
        <v>69</v>
      </c>
      <c r="O19">
        <v>63</v>
      </c>
      <c r="P19">
        <v>53.1</v>
      </c>
      <c r="Q19">
        <v>46</v>
      </c>
      <c r="R19">
        <v>45.4</v>
      </c>
      <c r="S19">
        <v>40</v>
      </c>
      <c r="T19">
        <v>40</v>
      </c>
      <c r="U19">
        <v>40</v>
      </c>
      <c r="V19">
        <v>40</v>
      </c>
      <c r="W19">
        <v>40</v>
      </c>
    </row>
    <row r="20" spans="1:23" x14ac:dyDescent="0.35">
      <c r="A20">
        <v>37</v>
      </c>
      <c r="B20" t="s">
        <v>15</v>
      </c>
      <c r="C20">
        <v>68.989999999999995</v>
      </c>
      <c r="D20">
        <v>74.42</v>
      </c>
      <c r="E20">
        <v>59.51</v>
      </c>
      <c r="F20">
        <v>48.88</v>
      </c>
      <c r="G20">
        <v>101.8</v>
      </c>
      <c r="H20">
        <v>101.58</v>
      </c>
      <c r="K20">
        <v>38</v>
      </c>
      <c r="L20" t="s">
        <v>31</v>
      </c>
      <c r="M20">
        <v>114.51</v>
      </c>
      <c r="N20">
        <v>117.52</v>
      </c>
      <c r="O20">
        <v>113.73</v>
      </c>
      <c r="P20">
        <v>102.51</v>
      </c>
      <c r="Q20">
        <v>85.72</v>
      </c>
      <c r="R20">
        <v>84.34</v>
      </c>
      <c r="S20">
        <v>68.78</v>
      </c>
      <c r="T20">
        <v>62.35</v>
      </c>
      <c r="U20">
        <v>62.35</v>
      </c>
      <c r="V20">
        <v>102.85</v>
      </c>
      <c r="W20">
        <v>102.67</v>
      </c>
    </row>
    <row r="21" spans="1:23" x14ac:dyDescent="0.35">
      <c r="B21" t="s">
        <v>16</v>
      </c>
      <c r="C21">
        <v>59.33</v>
      </c>
      <c r="D21">
        <v>64</v>
      </c>
      <c r="E21">
        <v>51.18</v>
      </c>
      <c r="F21">
        <v>42.04</v>
      </c>
      <c r="G21">
        <v>87.55</v>
      </c>
      <c r="H21">
        <v>87.36</v>
      </c>
      <c r="L21" t="s">
        <v>16</v>
      </c>
      <c r="M21">
        <v>98.48</v>
      </c>
      <c r="N21">
        <v>101.07</v>
      </c>
      <c r="O21">
        <v>97.81</v>
      </c>
      <c r="P21">
        <v>88.16</v>
      </c>
      <c r="Q21">
        <v>73.72</v>
      </c>
      <c r="R21">
        <v>72.53</v>
      </c>
      <c r="S21">
        <v>59.15</v>
      </c>
      <c r="T21">
        <v>53.62</v>
      </c>
      <c r="U21">
        <v>53.62</v>
      </c>
      <c r="V21">
        <v>88.45</v>
      </c>
      <c r="W21">
        <v>88.3</v>
      </c>
    </row>
    <row r="22" spans="1:23" x14ac:dyDescent="0.35">
      <c r="A22">
        <v>38</v>
      </c>
      <c r="B22" t="s">
        <v>17</v>
      </c>
      <c r="C22">
        <v>39.729999999999997</v>
      </c>
      <c r="D22">
        <v>36.479999999999997</v>
      </c>
      <c r="E22">
        <v>55.99</v>
      </c>
      <c r="F22">
        <v>66.97</v>
      </c>
      <c r="G22">
        <v>0</v>
      </c>
      <c r="H22">
        <v>0</v>
      </c>
      <c r="K22">
        <v>39</v>
      </c>
      <c r="L22" t="s">
        <v>32</v>
      </c>
      <c r="M22">
        <v>44.19</v>
      </c>
      <c r="N22">
        <v>44.67</v>
      </c>
      <c r="O22">
        <v>51.35</v>
      </c>
      <c r="P22">
        <v>65.97</v>
      </c>
      <c r="Q22">
        <v>82.1</v>
      </c>
      <c r="R22">
        <v>83.41</v>
      </c>
      <c r="S22">
        <v>94.13</v>
      </c>
      <c r="T22">
        <v>92.45</v>
      </c>
      <c r="U22">
        <v>92.45</v>
      </c>
      <c r="V22">
        <v>0</v>
      </c>
      <c r="W22">
        <v>0</v>
      </c>
    </row>
    <row r="23" spans="1:23" x14ac:dyDescent="0.35">
      <c r="B23" t="s">
        <v>16</v>
      </c>
      <c r="C23">
        <v>34.17</v>
      </c>
      <c r="D23">
        <v>31.37</v>
      </c>
      <c r="E23">
        <v>48.15</v>
      </c>
      <c r="F23">
        <v>57.59</v>
      </c>
      <c r="G23">
        <v>0</v>
      </c>
      <c r="H23">
        <v>0</v>
      </c>
      <c r="L23" t="s">
        <v>16</v>
      </c>
      <c r="M23">
        <v>38</v>
      </c>
      <c r="N23">
        <v>38.42</v>
      </c>
      <c r="O23">
        <v>44.16</v>
      </c>
      <c r="P23">
        <v>56.73</v>
      </c>
      <c r="Q23">
        <v>70.61</v>
      </c>
      <c r="R23">
        <v>71.73</v>
      </c>
      <c r="S23">
        <v>80.95</v>
      </c>
      <c r="T23">
        <v>79.510000000000005</v>
      </c>
      <c r="U23">
        <v>79.510000000000005</v>
      </c>
      <c r="V23">
        <v>0</v>
      </c>
      <c r="W23">
        <v>0</v>
      </c>
    </row>
    <row r="24" spans="1:23" x14ac:dyDescent="0.35">
      <c r="A24">
        <v>39</v>
      </c>
      <c r="B24" t="s">
        <v>18</v>
      </c>
      <c r="C24">
        <v>3.23</v>
      </c>
      <c r="D24">
        <v>4.87</v>
      </c>
      <c r="E24">
        <v>4.1399999999999997</v>
      </c>
      <c r="F24">
        <v>2.6</v>
      </c>
      <c r="G24">
        <v>5.33</v>
      </c>
      <c r="H24">
        <v>4.4800000000000004</v>
      </c>
      <c r="K24">
        <v>40</v>
      </c>
      <c r="L24" t="s">
        <v>33</v>
      </c>
      <c r="M24">
        <v>9.57</v>
      </c>
      <c r="N24">
        <v>9.92</v>
      </c>
      <c r="O24">
        <v>9.8000000000000007</v>
      </c>
      <c r="P24">
        <v>9.31</v>
      </c>
      <c r="Q24">
        <v>7.92</v>
      </c>
      <c r="R24">
        <v>7.5</v>
      </c>
      <c r="S24">
        <v>6.07</v>
      </c>
      <c r="T24">
        <v>5.35</v>
      </c>
      <c r="U24">
        <v>5.35</v>
      </c>
      <c r="V24">
        <v>6.48</v>
      </c>
      <c r="W24">
        <v>6.43</v>
      </c>
    </row>
    <row r="25" spans="1:23" x14ac:dyDescent="0.35">
      <c r="B25" t="s">
        <v>16</v>
      </c>
      <c r="C25">
        <v>2.78</v>
      </c>
      <c r="D25">
        <v>4.1900000000000004</v>
      </c>
      <c r="E25">
        <v>3.56</v>
      </c>
      <c r="F25">
        <v>2.2400000000000002</v>
      </c>
      <c r="G25">
        <v>4.58</v>
      </c>
      <c r="H25">
        <v>3.85</v>
      </c>
      <c r="L25" t="s">
        <v>16</v>
      </c>
      <c r="M25">
        <v>8.23</v>
      </c>
      <c r="N25">
        <v>8.5299999999999994</v>
      </c>
      <c r="O25">
        <v>8.43</v>
      </c>
      <c r="P25">
        <v>8.01</v>
      </c>
      <c r="Q25">
        <v>6.81</v>
      </c>
      <c r="R25">
        <v>6.43</v>
      </c>
      <c r="S25">
        <v>5.22</v>
      </c>
      <c r="T25">
        <v>4.5999999999999996</v>
      </c>
      <c r="U25">
        <v>4.5999999999999996</v>
      </c>
      <c r="V25">
        <v>5.57</v>
      </c>
      <c r="W25">
        <v>5.53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7F3E-7BBE-4E10-9277-F2F26A5DBFC2}">
  <dimension ref="B3:F14"/>
  <sheetViews>
    <sheetView workbookViewId="0">
      <selection activeCell="B15" sqref="B15"/>
    </sheetView>
  </sheetViews>
  <sheetFormatPr defaultRowHeight="14.5" x14ac:dyDescent="0.35"/>
  <sheetData>
    <row r="3" spans="2:6" x14ac:dyDescent="0.35">
      <c r="B3" s="2" t="s">
        <v>49</v>
      </c>
      <c r="D3" s="2">
        <v>108.1630088858</v>
      </c>
      <c r="F3" s="2">
        <v>35.402046464447999</v>
      </c>
    </row>
    <row r="4" spans="2:6" x14ac:dyDescent="0.35">
      <c r="B4" s="2">
        <v>112.27951314000001</v>
      </c>
      <c r="D4" s="2">
        <v>106.86701876402</v>
      </c>
      <c r="F4" s="2">
        <v>34.106056587573498</v>
      </c>
    </row>
    <row r="5" spans="2:6" x14ac:dyDescent="0.35">
      <c r="B5">
        <f>B3-B4</f>
        <v>1.3141075156029984</v>
      </c>
      <c r="D5">
        <f>D3-D4</f>
        <v>1.2959901217799938</v>
      </c>
      <c r="F5">
        <f>F3-F4</f>
        <v>1.2959898768745006</v>
      </c>
    </row>
    <row r="7" spans="2:6" x14ac:dyDescent="0.35">
      <c r="F7">
        <f>F5/F4*100</f>
        <v>3.7998819170044218</v>
      </c>
    </row>
    <row r="10" spans="2:6" x14ac:dyDescent="0.35">
      <c r="B10" s="2">
        <v>112.29741560779</v>
      </c>
    </row>
    <row r="11" spans="2:6" x14ac:dyDescent="0.35">
      <c r="B11" s="2">
        <v>112.27951314000001</v>
      </c>
    </row>
    <row r="12" spans="2:6" x14ac:dyDescent="0.35">
      <c r="B12">
        <f>B10-B11</f>
        <v>1.7902467789994603E-2</v>
      </c>
    </row>
    <row r="14" spans="2:6" x14ac:dyDescent="0.35">
      <c r="B14">
        <f>B12/B10*100</f>
        <v>1.5942012283275308E-2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3BF47-064D-4ADE-AF40-A33E2E57375A}">
  <dimension ref="B3:O18"/>
  <sheetViews>
    <sheetView workbookViewId="0">
      <selection activeCell="B4" sqref="B4"/>
    </sheetView>
  </sheetViews>
  <sheetFormatPr defaultRowHeight="14.5" x14ac:dyDescent="0.35"/>
  <sheetData>
    <row r="3" spans="2:15" x14ac:dyDescent="0.35">
      <c r="C3">
        <v>-42</v>
      </c>
      <c r="D3">
        <v>-40</v>
      </c>
      <c r="E3">
        <v>-28</v>
      </c>
      <c r="F3">
        <v>-20</v>
      </c>
      <c r="G3">
        <v>-10.199999999999999</v>
      </c>
      <c r="H3">
        <v>-3.1</v>
      </c>
      <c r="I3">
        <v>-2.5</v>
      </c>
      <c r="J3">
        <v>15</v>
      </c>
      <c r="K3">
        <v>15</v>
      </c>
      <c r="L3">
        <v>15</v>
      </c>
      <c r="M3">
        <v>37</v>
      </c>
      <c r="N3">
        <v>37</v>
      </c>
      <c r="O3" t="s">
        <v>90</v>
      </c>
    </row>
    <row r="4" spans="2:15" x14ac:dyDescent="0.35">
      <c r="B4" t="s">
        <v>92</v>
      </c>
      <c r="C4">
        <v>13</v>
      </c>
      <c r="D4">
        <v>13</v>
      </c>
      <c r="E4">
        <v>16</v>
      </c>
      <c r="F4">
        <v>16</v>
      </c>
      <c r="G4">
        <v>18</v>
      </c>
      <c r="H4">
        <v>20</v>
      </c>
      <c r="I4">
        <v>20</v>
      </c>
      <c r="J4">
        <v>15</v>
      </c>
      <c r="K4">
        <v>20</v>
      </c>
      <c r="L4">
        <v>25</v>
      </c>
      <c r="M4">
        <v>35</v>
      </c>
      <c r="N4">
        <v>40</v>
      </c>
    </row>
    <row r="6" spans="2:15" x14ac:dyDescent="0.35">
      <c r="D6">
        <v>-40</v>
      </c>
      <c r="E6">
        <v>-28</v>
      </c>
      <c r="F6">
        <v>-20</v>
      </c>
      <c r="G6">
        <v>-10.199999999999999</v>
      </c>
      <c r="H6">
        <v>-3.1</v>
      </c>
      <c r="I6">
        <v>-2.5</v>
      </c>
      <c r="J6">
        <v>15</v>
      </c>
      <c r="K6">
        <v>15</v>
      </c>
      <c r="L6">
        <v>37</v>
      </c>
      <c r="M6">
        <v>37</v>
      </c>
      <c r="N6">
        <v>37</v>
      </c>
      <c r="O6" t="s">
        <v>91</v>
      </c>
    </row>
    <row r="7" spans="2:15" x14ac:dyDescent="0.35">
      <c r="B7" t="s">
        <v>92</v>
      </c>
      <c r="D7">
        <v>13</v>
      </c>
      <c r="E7">
        <v>16</v>
      </c>
      <c r="F7">
        <v>16</v>
      </c>
      <c r="G7">
        <v>18</v>
      </c>
      <c r="H7">
        <v>20</v>
      </c>
      <c r="I7">
        <v>20</v>
      </c>
      <c r="J7">
        <v>25</v>
      </c>
      <c r="K7">
        <v>25</v>
      </c>
      <c r="L7">
        <v>35</v>
      </c>
      <c r="M7">
        <v>35</v>
      </c>
      <c r="N7">
        <v>40</v>
      </c>
    </row>
    <row r="11" spans="2:15" x14ac:dyDescent="0.35">
      <c r="C11">
        <v>-40</v>
      </c>
      <c r="D11">
        <v>-28</v>
      </c>
      <c r="E11">
        <v>-10.199999999999999</v>
      </c>
      <c r="F11">
        <v>-3.1</v>
      </c>
      <c r="G11">
        <v>15</v>
      </c>
      <c r="H11">
        <v>37</v>
      </c>
    </row>
    <row r="12" spans="2:15" x14ac:dyDescent="0.35">
      <c r="B12" t="s">
        <v>92</v>
      </c>
      <c r="C12">
        <v>13</v>
      </c>
      <c r="D12">
        <v>16</v>
      </c>
      <c r="E12">
        <v>18</v>
      </c>
      <c r="F12">
        <v>20</v>
      </c>
      <c r="G12">
        <v>25</v>
      </c>
      <c r="H12">
        <v>40</v>
      </c>
      <c r="I12" t="s">
        <v>90</v>
      </c>
    </row>
    <row r="13" spans="2:15" x14ac:dyDescent="0.35">
      <c r="B13" t="s">
        <v>92</v>
      </c>
      <c r="C13">
        <v>13</v>
      </c>
      <c r="D13">
        <v>16</v>
      </c>
      <c r="E13">
        <v>18</v>
      </c>
      <c r="F13">
        <v>20</v>
      </c>
      <c r="G13">
        <v>25</v>
      </c>
      <c r="H13">
        <v>40</v>
      </c>
    </row>
    <row r="16" spans="2:15" x14ac:dyDescent="0.35">
      <c r="C16">
        <v>-40</v>
      </c>
      <c r="D16">
        <v>-28</v>
      </c>
      <c r="E16">
        <v>-10.199999999999999</v>
      </c>
      <c r="F16">
        <v>-3.1</v>
      </c>
      <c r="G16">
        <v>15</v>
      </c>
      <c r="H16">
        <v>37</v>
      </c>
    </row>
    <row r="17" spans="2:9" x14ac:dyDescent="0.35">
      <c r="B17" t="s">
        <v>92</v>
      </c>
      <c r="C17">
        <v>13</v>
      </c>
      <c r="D17">
        <v>16</v>
      </c>
      <c r="E17">
        <v>18</v>
      </c>
      <c r="F17">
        <v>20</v>
      </c>
      <c r="G17">
        <v>25</v>
      </c>
      <c r="H17">
        <v>35</v>
      </c>
      <c r="I17" t="s">
        <v>91</v>
      </c>
    </row>
    <row r="18" spans="2:9" x14ac:dyDescent="0.35">
      <c r="B18" t="s">
        <v>92</v>
      </c>
      <c r="C18">
        <v>13</v>
      </c>
      <c r="D18">
        <v>16</v>
      </c>
      <c r="E18">
        <v>18</v>
      </c>
      <c r="F18">
        <v>20</v>
      </c>
      <c r="G18">
        <v>25</v>
      </c>
      <c r="H18">
        <v>35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4532C-DDFB-4CC9-9526-FD6F89027E1A}">
  <dimension ref="A2:AU59"/>
  <sheetViews>
    <sheetView topLeftCell="A32" zoomScaleNormal="100" workbookViewId="0">
      <selection activeCell="K80" sqref="K80"/>
    </sheetView>
  </sheetViews>
  <sheetFormatPr defaultRowHeight="14.5" x14ac:dyDescent="0.35"/>
  <sheetData>
    <row r="2" spans="1:47" ht="15" thickBot="1" x14ac:dyDescent="0.4">
      <c r="G2" s="3">
        <v>503.8</v>
      </c>
    </row>
    <row r="3" spans="1:47" x14ac:dyDescent="0.35">
      <c r="A3">
        <f>'[2]Теплофикационные режимы'!C11</f>
        <v>513.6</v>
      </c>
      <c r="B3">
        <f>'[2]Теплофикационные режимы'!D11</f>
        <v>521</v>
      </c>
      <c r="C3">
        <f>'[2]Теплофикационные режимы'!E11</f>
        <v>526.29999999999995</v>
      </c>
      <c r="D3">
        <f>'[2]Теплофикационные режимы'!F11</f>
        <v>531.5</v>
      </c>
      <c r="E3">
        <f>'[2]Теплофикационные режимы'!G11</f>
        <v>522</v>
      </c>
      <c r="F3">
        <f>'[2]Теплофикационные режимы'!H11</f>
        <v>521.1</v>
      </c>
      <c r="G3">
        <f>'[2]Теплофикационные режимы'!I11</f>
        <v>494.6</v>
      </c>
      <c r="H3">
        <f>'[2]Теплофикационные режимы'!J11</f>
        <v>452.1</v>
      </c>
      <c r="I3">
        <f>'[2]Теплофикационные режимы'!K11</f>
        <v>452.1</v>
      </c>
      <c r="J3">
        <f>'[2]Теплофикационные режимы'!L11</f>
        <v>494.6</v>
      </c>
      <c r="K3">
        <f>'[2]Теплофикационные режимы'!M11</f>
        <v>452.1</v>
      </c>
      <c r="L3">
        <f>'[2]Конденсационные режимы'!C15</f>
        <v>516.20000000000005</v>
      </c>
      <c r="M3">
        <f>'[2]Конденсационные режимы'!D15</f>
        <v>513.6</v>
      </c>
      <c r="N3">
        <f>'[2]Конденсационные режимы'!E15</f>
        <v>521</v>
      </c>
      <c r="O3">
        <f>'[2]Конденсационные режимы'!F15</f>
        <v>526.29999999999995</v>
      </c>
      <c r="P3">
        <f>'[2]Конденсационные режимы'!G15</f>
        <v>531.5</v>
      </c>
      <c r="Q3">
        <f>'[2]Конденсационные режимы'!H15</f>
        <v>522</v>
      </c>
      <c r="R3">
        <f>'[2]Конденсационные режимы'!I15</f>
        <v>521.1</v>
      </c>
      <c r="S3">
        <f>'[2]Конденсационные режимы'!J15</f>
        <v>503.8</v>
      </c>
      <c r="T3">
        <f>'[2]Конденсационные режимы'!K15</f>
        <v>494.6</v>
      </c>
      <c r="U3">
        <f>'[2]Конденсационные режимы'!L15</f>
        <v>494.6</v>
      </c>
      <c r="V3">
        <f>'[2]Конденсационные режимы'!M15</f>
        <v>452.1</v>
      </c>
      <c r="W3">
        <f>'[2]Конденсационные режимы'!N15</f>
        <v>452.1</v>
      </c>
      <c r="X3">
        <f>'[2]Теплофикационные режимы'!C127</f>
        <v>431.4</v>
      </c>
      <c r="Y3">
        <f>'[2]Теплофикационные режимы'!D127</f>
        <v>437.5</v>
      </c>
      <c r="Z3">
        <f>'[2]Теплофикационные режимы'!E127</f>
        <v>447.6</v>
      </c>
      <c r="AA3">
        <f>'[2]Теплофикационные режимы'!F127</f>
        <v>441.4</v>
      </c>
      <c r="AB3">
        <f>'[2]Теплофикационные режимы'!G127</f>
        <v>418.2</v>
      </c>
      <c r="AC3">
        <f>'[2]Теплофикационные режимы'!H127</f>
        <v>382</v>
      </c>
      <c r="AD3">
        <f>'[2]Конденсационные режимы'!C133</f>
        <v>431.4</v>
      </c>
      <c r="AE3">
        <f>'[2]Конденсационные режимы'!D133</f>
        <v>437.5</v>
      </c>
      <c r="AF3">
        <f>'[2]Конденсационные режимы'!E133</f>
        <v>447.6</v>
      </c>
      <c r="AG3">
        <f>'[2]Конденсационные режимы'!F133</f>
        <v>441.4</v>
      </c>
      <c r="AH3">
        <f>'[2]Конденсационные режимы'!G133</f>
        <v>418.2</v>
      </c>
      <c r="AI3">
        <f>'[2]Конденсационные режимы'!H133</f>
        <v>382</v>
      </c>
      <c r="AJ3">
        <f>'[2]Теплофикационные режимы'!C247</f>
        <v>357</v>
      </c>
      <c r="AK3">
        <f>'[2]Теплофикационные режимы'!D247</f>
        <v>362</v>
      </c>
      <c r="AL3">
        <f>'[2]Теплофикационные режимы'!E247</f>
        <v>370.2</v>
      </c>
      <c r="AM3">
        <f>'[2]Теплофикационные режимы'!F247</f>
        <v>367.2</v>
      </c>
      <c r="AN3">
        <f>'[2]Теплофикационные режимы'!G247</f>
        <v>347.7</v>
      </c>
      <c r="AO3">
        <f>'[2]Теплофикационные режимы'!H247</f>
        <v>317.60000000000002</v>
      </c>
      <c r="AP3">
        <f>'[2]Конденсационные режимы'!C249</f>
        <v>357</v>
      </c>
      <c r="AQ3">
        <f>'[2]Конденсационные режимы'!D249</f>
        <v>362</v>
      </c>
      <c r="AR3">
        <f>'[2]Конденсационные режимы'!E249</f>
        <v>370.2</v>
      </c>
      <c r="AS3">
        <f>'[2]Конденсационные режимы'!F249</f>
        <v>367.2</v>
      </c>
      <c r="AT3">
        <f>'[2]Конденсационные режимы'!G249</f>
        <v>347.7</v>
      </c>
      <c r="AU3">
        <f>'[2]Конденсационные режимы'!H249</f>
        <v>317.60000000000002</v>
      </c>
    </row>
    <row r="4" spans="1:47" x14ac:dyDescent="0.35">
      <c r="A4">
        <f>A3/$G$2</f>
        <v>1.0194521635569671</v>
      </c>
      <c r="B4">
        <f t="shared" ref="B4:AU4" si="0">B3/$G$2</f>
        <v>1.0341405319571257</v>
      </c>
      <c r="C4">
        <f t="shared" si="0"/>
        <v>1.0446605795950772</v>
      </c>
      <c r="D4">
        <f t="shared" si="0"/>
        <v>1.0549821357681619</v>
      </c>
      <c r="E4">
        <f t="shared" si="0"/>
        <v>1.0361254466057959</v>
      </c>
      <c r="F4">
        <f t="shared" si="0"/>
        <v>1.0343390234219929</v>
      </c>
      <c r="G4">
        <f t="shared" si="0"/>
        <v>0.98173878523223501</v>
      </c>
      <c r="H4">
        <f t="shared" si="0"/>
        <v>0.8973799126637555</v>
      </c>
      <c r="I4">
        <f t="shared" si="0"/>
        <v>0.8973799126637555</v>
      </c>
      <c r="J4">
        <f t="shared" si="0"/>
        <v>0.98173878523223501</v>
      </c>
      <c r="K4">
        <f t="shared" si="0"/>
        <v>0.8973799126637555</v>
      </c>
      <c r="L4">
        <f t="shared" si="0"/>
        <v>1.0246129416435095</v>
      </c>
      <c r="M4">
        <f t="shared" si="0"/>
        <v>1.0194521635569671</v>
      </c>
      <c r="N4">
        <f t="shared" si="0"/>
        <v>1.0341405319571257</v>
      </c>
      <c r="O4">
        <f t="shared" si="0"/>
        <v>1.0446605795950772</v>
      </c>
      <c r="P4">
        <f t="shared" si="0"/>
        <v>1.0549821357681619</v>
      </c>
      <c r="Q4">
        <f t="shared" si="0"/>
        <v>1.0361254466057959</v>
      </c>
      <c r="R4">
        <f t="shared" si="0"/>
        <v>1.0343390234219929</v>
      </c>
      <c r="S4">
        <f t="shared" si="0"/>
        <v>1</v>
      </c>
      <c r="T4">
        <f t="shared" si="0"/>
        <v>0.98173878523223501</v>
      </c>
      <c r="U4">
        <f t="shared" si="0"/>
        <v>0.98173878523223501</v>
      </c>
      <c r="V4">
        <f t="shared" si="0"/>
        <v>0.8973799126637555</v>
      </c>
      <c r="W4">
        <f t="shared" si="0"/>
        <v>0.8973799126637555</v>
      </c>
      <c r="X4">
        <f t="shared" si="0"/>
        <v>0.85629217943628422</v>
      </c>
      <c r="Y4">
        <f t="shared" si="0"/>
        <v>0.86840015879317189</v>
      </c>
      <c r="Z4">
        <f t="shared" si="0"/>
        <v>0.88844779674473995</v>
      </c>
      <c r="AA4">
        <f t="shared" si="0"/>
        <v>0.87614132592298521</v>
      </c>
      <c r="AB4">
        <f t="shared" si="0"/>
        <v>0.83009130607383874</v>
      </c>
      <c r="AC4">
        <f t="shared" si="0"/>
        <v>0.75823739579198091</v>
      </c>
      <c r="AD4">
        <f t="shared" si="0"/>
        <v>0.85629217943628422</v>
      </c>
      <c r="AE4">
        <f t="shared" si="0"/>
        <v>0.86840015879317189</v>
      </c>
      <c r="AF4">
        <f t="shared" si="0"/>
        <v>0.88844779674473995</v>
      </c>
      <c r="AG4">
        <f t="shared" si="0"/>
        <v>0.87614132592298521</v>
      </c>
      <c r="AH4">
        <f t="shared" si="0"/>
        <v>0.83009130607383874</v>
      </c>
      <c r="AI4">
        <f t="shared" si="0"/>
        <v>0.75823739579198091</v>
      </c>
      <c r="AJ4">
        <f t="shared" si="0"/>
        <v>0.7086145295752283</v>
      </c>
      <c r="AK4">
        <f t="shared" si="0"/>
        <v>0.7185391028185788</v>
      </c>
      <c r="AL4">
        <f t="shared" si="0"/>
        <v>0.73481540293767367</v>
      </c>
      <c r="AM4">
        <f t="shared" si="0"/>
        <v>0.7288606589916633</v>
      </c>
      <c r="AN4">
        <f t="shared" si="0"/>
        <v>0.69015482334259626</v>
      </c>
      <c r="AO4">
        <f t="shared" si="0"/>
        <v>0.6304088924176261</v>
      </c>
      <c r="AP4">
        <f t="shared" si="0"/>
        <v>0.7086145295752283</v>
      </c>
      <c r="AQ4">
        <f t="shared" si="0"/>
        <v>0.7185391028185788</v>
      </c>
      <c r="AR4">
        <f t="shared" si="0"/>
        <v>0.73481540293767367</v>
      </c>
      <c r="AS4">
        <f t="shared" si="0"/>
        <v>0.7288606589916633</v>
      </c>
      <c r="AT4">
        <f t="shared" si="0"/>
        <v>0.69015482334259626</v>
      </c>
      <c r="AU4">
        <f t="shared" si="0"/>
        <v>0.6304088924176261</v>
      </c>
    </row>
    <row r="5" spans="1:47" x14ac:dyDescent="0.35">
      <c r="A5">
        <f>'[2]Теплофикационные режимы'!C23</f>
        <v>8.01</v>
      </c>
      <c r="B5">
        <f>'[2]Теплофикационные режимы'!D23</f>
        <v>8.2270000000000003</v>
      </c>
      <c r="C5">
        <f>'[2]Теплофикационные режимы'!E23</f>
        <v>8.3719999999999999</v>
      </c>
      <c r="D5">
        <f>'[2]Теплофикационные режимы'!F23</f>
        <v>8.5370000000000008</v>
      </c>
      <c r="E5">
        <f>'[2]Теплофикационные режимы'!G23</f>
        <v>8.4640000000000004</v>
      </c>
      <c r="F5">
        <f>'[2]Теплофикационные режимы'!H23</f>
        <v>8.4570000000000007</v>
      </c>
      <c r="G5">
        <f>'[2]Теплофикационные режимы'!I23</f>
        <v>8.2729999999999997</v>
      </c>
      <c r="H5">
        <f>'[2]Теплофикационные режимы'!J23</f>
        <v>8.0440000000000005</v>
      </c>
      <c r="I5">
        <f>'[2]Теплофикационные режимы'!K23</f>
        <v>8.0440000000000005</v>
      </c>
      <c r="J5">
        <f>'[2]Теплофикационные режимы'!L23</f>
        <v>8.2729999999999997</v>
      </c>
      <c r="K5">
        <f>'[2]Теплофикационные режимы'!M23</f>
        <v>8.0440000000000005</v>
      </c>
      <c r="L5">
        <f>'[2]Конденсационные режимы'!C27</f>
        <v>8.0250000000000004</v>
      </c>
      <c r="M5">
        <f>'[2]Конденсационные режимы'!D27</f>
        <v>8.0109999999999992</v>
      </c>
      <c r="N5">
        <f>'[2]Конденсационные режимы'!E27</f>
        <v>8.2240000000000002</v>
      </c>
      <c r="O5">
        <f>'[2]Конденсационные режимы'!F27</f>
        <v>8.3719999999999999</v>
      </c>
      <c r="P5">
        <f>'[2]Конденсационные режимы'!G27</f>
        <v>8.5359999999999996</v>
      </c>
      <c r="Q5">
        <f>'[2]Конденсационные режимы'!H27</f>
        <v>8.4640000000000004</v>
      </c>
      <c r="R5">
        <f>'[2]Конденсационные режимы'!I27</f>
        <v>8.4570000000000007</v>
      </c>
      <c r="S5">
        <f>'[2]Конденсационные режимы'!J27</f>
        <v>8.407</v>
      </c>
      <c r="T5">
        <f>'[2]Конденсационные режимы'!K27</f>
        <v>8.2729999999999997</v>
      </c>
      <c r="U5">
        <f>'[2]Конденсационные режимы'!L27</f>
        <v>8.2729999999999997</v>
      </c>
      <c r="V5">
        <f>'[2]Конденсационные режимы'!M27</f>
        <v>8.0429999999999993</v>
      </c>
      <c r="W5">
        <f>'[2]Конденсационные режимы'!N27</f>
        <v>8.0429999999999993</v>
      </c>
      <c r="X5">
        <f>'[2]Теплофикационные режимы'!C139</f>
        <v>6.83</v>
      </c>
      <c r="Y5">
        <f>'[2]Теплофикационные режимы'!D139</f>
        <v>7.0069999999999997</v>
      </c>
      <c r="Z5">
        <f>'[2]Теплофикационные режимы'!E139</f>
        <v>7.2869999999999999</v>
      </c>
      <c r="AA5">
        <f>'[2]Теплофикационные режимы'!F139</f>
        <v>7.2510000000000003</v>
      </c>
      <c r="AB5">
        <f>'[2]Теплофикационные режимы'!G139</f>
        <v>7.08</v>
      </c>
      <c r="AC5">
        <f>'[2]Теплофикационные режимы'!H139</f>
        <v>6.8680000000000003</v>
      </c>
      <c r="AD5">
        <f>'[2]Конденсационные режимы'!C145</f>
        <v>6.83</v>
      </c>
      <c r="AE5">
        <f>'[2]Конденсационные режимы'!D145</f>
        <v>7.0069999999999997</v>
      </c>
      <c r="AF5">
        <f>'[2]Конденсационные режимы'!E145</f>
        <v>7.2869999999999999</v>
      </c>
      <c r="AG5">
        <f>'[2]Конденсационные режимы'!F145</f>
        <v>7.2510000000000003</v>
      </c>
      <c r="AH5">
        <f>'[2]Конденсационные режимы'!G145</f>
        <v>7.08</v>
      </c>
      <c r="AI5">
        <f>'[2]Конденсационные режимы'!H145</f>
        <v>6.8680000000000003</v>
      </c>
      <c r="AJ5">
        <f>'[2]Теплофикационные режимы'!C259</f>
        <v>5.5270000000000001</v>
      </c>
      <c r="AK5">
        <f>'[2]Теплофикационные режимы'!D259</f>
        <v>5.6689999999999996</v>
      </c>
      <c r="AL5">
        <f>'[2]Теплофикационные режимы'!E259</f>
        <v>5.8840000000000003</v>
      </c>
      <c r="AM5">
        <f>'[2]Теплофикационные режимы'!F259</f>
        <v>5.8849999999999998</v>
      </c>
      <c r="AN5">
        <f>'[2]Теплофикационные режимы'!G259</f>
        <v>5.7469999999999999</v>
      </c>
      <c r="AO5">
        <f>'[2]Теплофикационные режимы'!H259</f>
        <v>5.5739999999999998</v>
      </c>
      <c r="AP5">
        <f>'[2]Конденсационные режимы'!C261</f>
        <v>5.5270000000000001</v>
      </c>
      <c r="AQ5">
        <f>'[2]Конденсационные режимы'!D261</f>
        <v>5.6689999999999996</v>
      </c>
      <c r="AR5">
        <f>'[2]Конденсационные режимы'!E261</f>
        <v>5.8840000000000003</v>
      </c>
      <c r="AS5">
        <f>'[2]Конденсационные режимы'!F261</f>
        <v>5.8849999999999998</v>
      </c>
      <c r="AT5">
        <f>'[2]Конденсационные режимы'!G261</f>
        <v>5.7469999999999999</v>
      </c>
      <c r="AU5">
        <f>'[2]Конденсационные режимы'!H261</f>
        <v>5.5739999999999998</v>
      </c>
    </row>
    <row r="6" spans="1:47" x14ac:dyDescent="0.35">
      <c r="A6">
        <f>'[2]Теплофикационные режимы'!C27</f>
        <v>0.68100000000000005</v>
      </c>
      <c r="B6">
        <f>'[2]Теплофикационные режимы'!D27</f>
        <v>0.69599999999999995</v>
      </c>
      <c r="C6">
        <f>'[2]Теплофикационные режимы'!E27</f>
        <v>0.69299999999999995</v>
      </c>
      <c r="D6">
        <f>'[2]Теплофикационные режимы'!F27</f>
        <v>0.68500000000000005</v>
      </c>
      <c r="E6">
        <f>'[2]Теплофикационные режимы'!G27</f>
        <v>0.66800000000000004</v>
      </c>
      <c r="F6">
        <f>'[2]Теплофикационные режимы'!H27</f>
        <v>0.66700000000000004</v>
      </c>
      <c r="G6">
        <f>'[2]Теплофикационные режимы'!I27</f>
        <v>0.63600000000000001</v>
      </c>
      <c r="H6">
        <f>'[2]Теплофикационные режимы'!J27</f>
        <v>0.6</v>
      </c>
      <c r="I6">
        <f>'[2]Теплофикационные режимы'!K27</f>
        <v>0.6</v>
      </c>
      <c r="J6">
        <f>'[2]Теплофикационные режимы'!L27</f>
        <v>0.66400000000000003</v>
      </c>
      <c r="K6">
        <f>'[2]Теплофикационные режимы'!M27</f>
        <v>0.627</v>
      </c>
      <c r="L6">
        <f>'[2]Конденсационные режимы'!C31</f>
        <v>0.68700000000000006</v>
      </c>
      <c r="M6">
        <f>'[2]Конденсационные режимы'!D31</f>
        <v>0.68400000000000005</v>
      </c>
      <c r="N6">
        <f>'[2]Конденсационные режимы'!E31</f>
        <v>0.69699999999999995</v>
      </c>
      <c r="O6">
        <f>'[2]Конденсационные режимы'!F31</f>
        <v>0.70599999999999996</v>
      </c>
      <c r="P6">
        <f>'[2]Конденсационные режимы'!G31</f>
        <v>0.71599999999999997</v>
      </c>
      <c r="Q6">
        <f>'[2]Конденсационные режимы'!H31</f>
        <v>0.70699999999999996</v>
      </c>
      <c r="R6">
        <f>'[2]Конденсационные режимы'!I31</f>
        <v>0.70599999999999996</v>
      </c>
      <c r="S6">
        <f>'[2]Конденсационные режимы'!J31</f>
        <v>0.69099999999999995</v>
      </c>
      <c r="T6">
        <f>'[2]Конденсационные режимы'!K31</f>
        <v>0.68</v>
      </c>
      <c r="U6">
        <f>'[2]Конденсационные режимы'!L31</f>
        <v>0.68100000000000005</v>
      </c>
      <c r="V6">
        <f>'[2]Конденсационные режимы'!M31</f>
        <v>0.64400000000000002</v>
      </c>
      <c r="W6">
        <f>'[2]Конденсационные режимы'!N31</f>
        <v>0.64400000000000002</v>
      </c>
      <c r="X6">
        <f>'[2]Теплофикационные режимы'!C143</f>
        <v>0.55800000000000005</v>
      </c>
      <c r="Y6">
        <f>'[2]Теплофикационные режимы'!D143</f>
        <v>0.56999999999999995</v>
      </c>
      <c r="Z6">
        <f>'[2]Теплофикационные режимы'!E143</f>
        <v>0.56200000000000006</v>
      </c>
      <c r="AA6">
        <f>'[2]Теплофикационные режимы'!F143</f>
        <v>0.55200000000000005</v>
      </c>
      <c r="AB6">
        <f>'[2]Теплофикационные режимы'!G143</f>
        <v>0.55300000000000005</v>
      </c>
      <c r="AC6">
        <f>'[2]Теплофикационные режимы'!H143</f>
        <v>0.52300000000000002</v>
      </c>
      <c r="AD6">
        <f>'[2]Конденсационные режимы'!C149</f>
        <v>0.55600000000000005</v>
      </c>
      <c r="AE6">
        <f>'[2]Конденсационные режимы'!D149</f>
        <v>0.56699999999999995</v>
      </c>
      <c r="AF6">
        <f>'[2]Конденсационные режимы'!E149</f>
        <v>0.58399999999999996</v>
      </c>
      <c r="AG6">
        <f>'[2]Конденсационные режимы'!F149</f>
        <v>0.57799999999999996</v>
      </c>
      <c r="AH6">
        <f>'[2]Конденсационные режимы'!G149</f>
        <v>0.55600000000000005</v>
      </c>
      <c r="AI6">
        <f>'[2]Конденсационные режимы'!H149</f>
        <v>0.52600000000000002</v>
      </c>
      <c r="AJ6">
        <f>'[2]Теплофикационные режимы'!C263</f>
        <v>0.46100000000000002</v>
      </c>
      <c r="AK6">
        <f>'[2]Теплофикационные режимы'!D263</f>
        <v>0.46300000000000002</v>
      </c>
      <c r="AL6">
        <f>'[2]Теплофикационные режимы'!E263</f>
        <v>0.46600000000000003</v>
      </c>
      <c r="AM6">
        <f>'[2]Теплофикационные режимы'!F263</f>
        <v>0.46500000000000002</v>
      </c>
      <c r="AN6">
        <f>'[2]Теплофикационные режимы'!G263</f>
        <v>0.45700000000000002</v>
      </c>
      <c r="AO6">
        <f>'[2]Теплофикационные режимы'!H263</f>
        <v>0.44600000000000001</v>
      </c>
      <c r="AP6">
        <f>'[2]Конденсационные режимы'!C265</f>
        <v>0.46100000000000002</v>
      </c>
      <c r="AQ6">
        <f>'[2]Конденсационные режимы'!D265</f>
        <v>0.46300000000000002</v>
      </c>
      <c r="AR6">
        <f>'[2]Конденсационные режимы'!E265</f>
        <v>0.46600000000000003</v>
      </c>
      <c r="AS6">
        <f>'[2]Конденсационные режимы'!F265</f>
        <v>0.46500000000000002</v>
      </c>
      <c r="AT6">
        <f>'[2]Конденсационные режимы'!G265</f>
        <v>0.45700000000000002</v>
      </c>
      <c r="AU6">
        <f>'[2]Конденсационные режимы'!H265</f>
        <v>0.44600000000000001</v>
      </c>
    </row>
    <row r="34" spans="2:20" x14ac:dyDescent="0.35">
      <c r="F34">
        <v>7.7610000000000001</v>
      </c>
    </row>
    <row r="35" spans="2:20" x14ac:dyDescent="0.35">
      <c r="F35">
        <v>1.02</v>
      </c>
    </row>
    <row r="36" spans="2:20" x14ac:dyDescent="0.35">
      <c r="F36">
        <v>0.45379999999999998</v>
      </c>
    </row>
    <row r="37" spans="2:20" x14ac:dyDescent="0.35">
      <c r="H37">
        <f>F35*F34+F36</f>
        <v>8.3700200000000002</v>
      </c>
    </row>
    <row r="45" spans="2:20" x14ac:dyDescent="0.35">
      <c r="B45">
        <v>1</v>
      </c>
      <c r="C45">
        <v>2</v>
      </c>
      <c r="D45">
        <v>3</v>
      </c>
      <c r="E45">
        <v>4</v>
      </c>
      <c r="F45">
        <v>5</v>
      </c>
      <c r="G45">
        <v>6</v>
      </c>
      <c r="H45">
        <v>7</v>
      </c>
      <c r="I45">
        <v>8</v>
      </c>
      <c r="J45">
        <v>9</v>
      </c>
      <c r="K45">
        <v>10</v>
      </c>
      <c r="L45">
        <v>11</v>
      </c>
      <c r="M45">
        <v>12</v>
      </c>
      <c r="N45">
        <v>13</v>
      </c>
      <c r="O45">
        <v>14</v>
      </c>
      <c r="P45">
        <v>15</v>
      </c>
      <c r="Q45">
        <v>16</v>
      </c>
      <c r="R45">
        <v>17</v>
      </c>
      <c r="S45">
        <v>18</v>
      </c>
      <c r="T45">
        <v>19</v>
      </c>
    </row>
    <row r="46" spans="2:20" x14ac:dyDescent="0.35">
      <c r="B46" s="2">
        <v>8.4652799999999999</v>
      </c>
      <c r="C46">
        <v>8.4043899999999994</v>
      </c>
      <c r="D46">
        <v>8.3757199999999994</v>
      </c>
      <c r="E46">
        <v>8.3624700000000001</v>
      </c>
      <c r="F46">
        <v>8.3561200000000007</v>
      </c>
      <c r="G46">
        <v>8.35304</v>
      </c>
      <c r="H46">
        <v>8.3521300000000007</v>
      </c>
      <c r="I46">
        <v>8.3513999999999999</v>
      </c>
      <c r="J46">
        <v>8.3515099999999993</v>
      </c>
      <c r="K46">
        <v>8.3508999999999993</v>
      </c>
      <c r="L46">
        <v>8.3512000000000004</v>
      </c>
      <c r="M46">
        <v>8.3507200000000008</v>
      </c>
      <c r="N46">
        <v>8.3508899999999997</v>
      </c>
      <c r="O46">
        <v>8.3505800000000008</v>
      </c>
      <c r="P46">
        <v>8.35032</v>
      </c>
      <c r="Q46">
        <v>8.3507099999999994</v>
      </c>
      <c r="R46">
        <v>8.3508200000000006</v>
      </c>
      <c r="S46">
        <v>8.3505800000000008</v>
      </c>
      <c r="T46">
        <v>8.3508999999999993</v>
      </c>
    </row>
    <row r="57" spans="2:14" x14ac:dyDescent="0.35">
      <c r="B57">
        <v>1</v>
      </c>
      <c r="C57">
        <v>2</v>
      </c>
      <c r="D57">
        <v>3</v>
      </c>
      <c r="E57">
        <v>4</v>
      </c>
      <c r="F57">
        <v>5</v>
      </c>
      <c r="G57">
        <v>6</v>
      </c>
      <c r="H57">
        <v>7</v>
      </c>
      <c r="I57">
        <v>8</v>
      </c>
      <c r="J57">
        <v>9</v>
      </c>
      <c r="K57">
        <v>10</v>
      </c>
      <c r="L57">
        <v>11</v>
      </c>
      <c r="M57">
        <v>12</v>
      </c>
      <c r="N57">
        <v>13</v>
      </c>
    </row>
    <row r="58" spans="2:14" x14ac:dyDescent="0.35">
      <c r="B58" s="2">
        <v>0.68552999999999997</v>
      </c>
      <c r="C58">
        <v>0.67684</v>
      </c>
      <c r="D58">
        <v>0.67508000000000001</v>
      </c>
      <c r="E58">
        <v>0.67410000000000003</v>
      </c>
      <c r="F58">
        <v>0.67359999999999998</v>
      </c>
      <c r="G58">
        <v>0.6734</v>
      </c>
      <c r="H58">
        <v>0.67330000000000001</v>
      </c>
      <c r="I58">
        <v>0.67320000000000002</v>
      </c>
      <c r="J58">
        <v>0.67315000000000003</v>
      </c>
      <c r="K58">
        <v>0.67290000000000005</v>
      </c>
      <c r="L58">
        <v>0.67279999999999995</v>
      </c>
      <c r="M58">
        <v>0.67274999999999996</v>
      </c>
      <c r="N58">
        <v>0.67278000000000004</v>
      </c>
    </row>
    <row r="59" spans="2:14" x14ac:dyDescent="0.35">
      <c r="B59" s="2">
        <v>8.5081900000000008</v>
      </c>
      <c r="C59">
        <v>8.4661100000000005</v>
      </c>
      <c r="D59">
        <v>8.4453700000000005</v>
      </c>
      <c r="E59">
        <v>8.4361200000000007</v>
      </c>
      <c r="F59">
        <v>8.4320400000000006</v>
      </c>
      <c r="G59">
        <v>8.4297900000000006</v>
      </c>
      <c r="H59">
        <v>8.4291099999999997</v>
      </c>
      <c r="I59">
        <v>8.4287600000000005</v>
      </c>
      <c r="J59">
        <v>8.42849</v>
      </c>
      <c r="K59">
        <v>8.4285800000000002</v>
      </c>
      <c r="L59">
        <v>8.4286300000000001</v>
      </c>
      <c r="M59">
        <v>8.4286600000000007</v>
      </c>
      <c r="N59">
        <v>8.4284400000000002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Тепловикация</vt:lpstr>
      <vt:lpstr>Расчет КПД турбина на режимах</vt:lpstr>
      <vt:lpstr>Турбина</vt:lpstr>
      <vt:lpstr>Турбоустановка с теплофикацией</vt:lpstr>
      <vt:lpstr>Sheet1</vt:lpstr>
      <vt:lpstr>Лист1</vt:lpstr>
      <vt:lpstr>Конденсатор</vt:lpstr>
      <vt:lpstr>Давление начальное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Учетная запись сотрудника НОЦ (№3)</dc:creator>
  <cp:lastModifiedBy>Учетная запись сотрудника НОЦ (№3)</cp:lastModifiedBy>
  <dcterms:created xsi:type="dcterms:W3CDTF">2015-06-05T18:17:20Z</dcterms:created>
  <dcterms:modified xsi:type="dcterms:W3CDTF">2022-08-29T15:07:08Z</dcterms:modified>
</cp:coreProperties>
</file>