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1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E9" i="1" l="1"/>
  <c r="E18" i="1"/>
  <c r="E17" i="1"/>
  <c r="E8" i="1"/>
  <c r="E13" i="1"/>
  <c r="E12" i="1"/>
  <c r="E10" i="1"/>
  <c r="J9" i="1"/>
  <c r="F9" i="1"/>
  <c r="E43" i="1" l="1"/>
  <c r="K3" i="1" l="1"/>
  <c r="K2" i="1"/>
  <c r="K42" i="1"/>
  <c r="K41" i="1"/>
  <c r="K40" i="1"/>
  <c r="K39" i="1"/>
  <c r="K38" i="1"/>
  <c r="D43" i="1"/>
  <c r="K37" i="1" l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F43" i="1" l="1"/>
  <c r="I43" i="1" l="1"/>
  <c r="H4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3" i="1"/>
  <c r="G43" i="1"/>
  <c r="C43" i="1"/>
</calcChain>
</file>

<file path=xl/sharedStrings.xml><?xml version="1.0" encoding="utf-8"?>
<sst xmlns="http://schemas.openxmlformats.org/spreadsheetml/2006/main" count="95" uniqueCount="95">
  <si>
    <t>Datum</t>
  </si>
  <si>
    <t>Titel</t>
  </si>
  <si>
    <t>Ausgaben Film</t>
  </si>
  <si>
    <t>Einnahmen Film</t>
  </si>
  <si>
    <t>Zuschauer</t>
  </si>
  <si>
    <t>Schnitt</t>
  </si>
  <si>
    <t>SUMME</t>
  </si>
  <si>
    <t>Koop-Kosten</t>
  </si>
  <si>
    <t>Einnahmen LM ASTA</t>
  </si>
  <si>
    <t>LM wir</t>
  </si>
  <si>
    <t>ExHaus</t>
  </si>
  <si>
    <t>Einnahmen netto Abr.</t>
  </si>
  <si>
    <t>29.10.</t>
  </si>
  <si>
    <t>30.10.</t>
  </si>
  <si>
    <t>31.10.</t>
  </si>
  <si>
    <t>05.11.</t>
  </si>
  <si>
    <t>06.11.</t>
  </si>
  <si>
    <t>07.11.</t>
  </si>
  <si>
    <t>12.11.</t>
  </si>
  <si>
    <t>13.11.</t>
  </si>
  <si>
    <t>14.11.</t>
  </si>
  <si>
    <t>19.11.</t>
  </si>
  <si>
    <t>20.11.</t>
  </si>
  <si>
    <t>21.11.</t>
  </si>
  <si>
    <t>26.11.</t>
  </si>
  <si>
    <t>27.11.</t>
  </si>
  <si>
    <t>28.11.</t>
  </si>
  <si>
    <t>03.12.</t>
  </si>
  <si>
    <t>04.12.</t>
  </si>
  <si>
    <t>05.12.</t>
  </si>
  <si>
    <t>10.12.</t>
  </si>
  <si>
    <t>11.12.</t>
  </si>
  <si>
    <t>12.12.</t>
  </si>
  <si>
    <t>17.12.</t>
  </si>
  <si>
    <t>18.12.</t>
  </si>
  <si>
    <t>07.01.</t>
  </si>
  <si>
    <t>08.01.</t>
  </si>
  <si>
    <t>09.01.</t>
  </si>
  <si>
    <t>14.01.</t>
  </si>
  <si>
    <t>15.11.</t>
  </si>
  <si>
    <t>17.11.</t>
  </si>
  <si>
    <t>21.01.</t>
  </si>
  <si>
    <t>22.01.</t>
  </si>
  <si>
    <t>23.01.</t>
  </si>
  <si>
    <t>28.01.</t>
  </si>
  <si>
    <t>29.01.</t>
  </si>
  <si>
    <t>30.01.</t>
  </si>
  <si>
    <t>04.02.</t>
  </si>
  <si>
    <t>05.02.</t>
  </si>
  <si>
    <t>06.02.</t>
  </si>
  <si>
    <t>11.02.</t>
  </si>
  <si>
    <t>12.02.</t>
  </si>
  <si>
    <t>13.02.</t>
  </si>
  <si>
    <t>Rocketman</t>
  </si>
  <si>
    <t>Absolute Giganten</t>
  </si>
  <si>
    <t>Tanz der Teufel 2</t>
  </si>
  <si>
    <t>Meisterdetektiv Pikachu</t>
  </si>
  <si>
    <t>Chris the Swiss</t>
  </si>
  <si>
    <t>The Villainess</t>
  </si>
  <si>
    <t>10 Milliarden</t>
  </si>
  <si>
    <t>Sytemsprenger</t>
  </si>
  <si>
    <t>One Cut of the Dead</t>
  </si>
  <si>
    <t>The Hate U Give</t>
  </si>
  <si>
    <t>Ghost in the Shell</t>
  </si>
  <si>
    <t>Free Solo</t>
  </si>
  <si>
    <t>Lord of the Toys</t>
  </si>
  <si>
    <t>Der schwarze Engel</t>
  </si>
  <si>
    <t>Five Fingers for Marseilles</t>
  </si>
  <si>
    <t>More than Honey</t>
  </si>
  <si>
    <t>Laurence Always</t>
  </si>
  <si>
    <t>Das schönste Mädchen der Welt</t>
  </si>
  <si>
    <t>The Broken Circle</t>
  </si>
  <si>
    <t>They Shall Not Grow Old</t>
  </si>
  <si>
    <t>Überraschungsfilm</t>
  </si>
  <si>
    <t>Mr. Nobody</t>
  </si>
  <si>
    <t>Boy and the World</t>
  </si>
  <si>
    <t>Long Shot</t>
  </si>
  <si>
    <t>Spider Man: Far from Home</t>
  </si>
  <si>
    <t>Victoria</t>
  </si>
  <si>
    <t>Midsommar</t>
  </si>
  <si>
    <t>Apocalyple Now</t>
  </si>
  <si>
    <t>Die Stadt der Juden (Livevertonung)</t>
  </si>
  <si>
    <t>The Wild Boys</t>
  </si>
  <si>
    <t>A.I. - Künstliche Intelligenz</t>
  </si>
  <si>
    <t>Roads</t>
  </si>
  <si>
    <t>Akira</t>
  </si>
  <si>
    <t>Birds of Passage</t>
  </si>
  <si>
    <t>Once Upon a Time in Hollywood</t>
  </si>
  <si>
    <t>Der König der Löwen</t>
  </si>
  <si>
    <t>Burning</t>
  </si>
  <si>
    <t>Leon - Der Profi</t>
  </si>
  <si>
    <t>Vice</t>
  </si>
  <si>
    <t>Portrait de la jeune fille en feu</t>
  </si>
  <si>
    <t xml:space="preserve"> </t>
  </si>
  <si>
    <t>Wunschfilm - Green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</si>
</sst>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"/>
    <numFmt numFmtId="165" formatCode="#,##0.00&quot; €&quot;"/>
    <numFmt numFmtId="166" formatCode="* #,##0.00&quot; € &quot;;\-* #,##0.00&quot; € &quot;;* \-#&quot; € &quot;;@\ "/>
    <numFmt numFmtId="167" formatCode="#,##0.00\ &quot;€&quot;"/>
  </numFmts>
  <fonts count="13" x14ac:knownFonts="1"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4"/>
      <color rgb="FF000000"/>
      <name val="Arial"/>
      <family val="2"/>
    </font>
    <font>
      <sz val="14"/>
      <color rgb="FFFF3333"/>
      <name val="Arial"/>
      <family val="2"/>
    </font>
    <font>
      <sz val="14"/>
      <color rgb="FFFF420E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b/>
      <i/>
      <sz val="14"/>
      <color rgb="FFFF0000"/>
      <name val="Arial"/>
      <family val="2"/>
    </font>
    <font>
      <sz val="14"/>
      <color theme="1"/>
      <name val="Arial"/>
      <family val="2"/>
    </font>
    <font>
      <i/>
      <sz val="14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theme="0"/>
        <bgColor rgb="FF0033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rgb="FFFF00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rgb="FFFF8080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rgb="FFCCFFCC"/>
      </patternFill>
    </fill>
    <fill>
      <patternFill patternType="solid">
        <fgColor theme="0" tint="-0.249977111117893"/>
        <bgColor rgb="FFCC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9" fillId="0" borderId="0" applyBorder="0" applyAlignment="0" applyProtection="0"/>
    <xf numFmtId="0" fontId="1" fillId="0" borderId="0"/>
  </cellStyleXfs>
  <cellXfs count="85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  <xf numFmtId="165" fontId="2" fillId="3" borderId="1" xfId="1" applyNumberFormat="1" applyFont="1" applyFill="1" applyBorder="1" applyAlignment="1" applyProtection="1"/>
    <xf numFmtId="3" fontId="2" fillId="3" borderId="1" xfId="1" applyNumberFormat="1" applyFont="1" applyFill="1" applyBorder="1" applyAlignment="1" applyProtection="1"/>
    <xf numFmtId="0" fontId="3" fillId="4" borderId="1" xfId="0" applyFont="1" applyFill="1" applyBorder="1"/>
    <xf numFmtId="165" fontId="4" fillId="4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right"/>
    </xf>
    <xf numFmtId="0" fontId="3" fillId="7" borderId="1" xfId="0" applyFont="1" applyFill="1" applyBorder="1"/>
    <xf numFmtId="0" fontId="3" fillId="4" borderId="1" xfId="0" applyFont="1" applyFill="1" applyBorder="1" applyAlignment="1">
      <alignment horizontal="right"/>
    </xf>
    <xf numFmtId="4" fontId="0" fillId="0" borderId="0" xfId="0" applyNumberFormat="1"/>
    <xf numFmtId="0" fontId="3" fillId="0" borderId="1" xfId="0" applyFont="1" applyFill="1" applyBorder="1"/>
    <xf numFmtId="165" fontId="4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right"/>
    </xf>
    <xf numFmtId="165" fontId="3" fillId="0" borderId="1" xfId="1" applyNumberFormat="1" applyFont="1" applyFill="1" applyBorder="1" applyAlignment="1" applyProtection="1">
      <alignment horizontal="right"/>
    </xf>
    <xf numFmtId="165" fontId="4" fillId="0" borderId="1" xfId="0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 applyProtection="1">
      <alignment horizontal="right"/>
    </xf>
    <xf numFmtId="165" fontId="5" fillId="0" borderId="1" xfId="0" applyNumberFormat="1" applyFont="1" applyFill="1" applyBorder="1" applyAlignment="1">
      <alignment horizontal="right"/>
    </xf>
    <xf numFmtId="165" fontId="5" fillId="0" borderId="1" xfId="1" applyNumberFormat="1" applyFont="1" applyFill="1" applyBorder="1" applyAlignment="1" applyProtection="1">
      <alignment horizontal="right"/>
    </xf>
    <xf numFmtId="0" fontId="3" fillId="0" borderId="0" xfId="0" applyFont="1" applyFill="1"/>
    <xf numFmtId="0" fontId="3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165" fontId="4" fillId="7" borderId="1" xfId="0" applyNumberFormat="1" applyFont="1" applyFill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3" fillId="8" borderId="1" xfId="0" applyFont="1" applyFill="1" applyBorder="1"/>
    <xf numFmtId="165" fontId="4" fillId="8" borderId="1" xfId="0" applyNumberFormat="1" applyFont="1" applyFill="1" applyBorder="1" applyAlignment="1">
      <alignment horizontal="right"/>
    </xf>
    <xf numFmtId="165" fontId="5" fillId="8" borderId="1" xfId="0" applyNumberFormat="1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9" borderId="1" xfId="0" applyFont="1" applyFill="1" applyBorder="1"/>
    <xf numFmtId="165" fontId="4" fillId="9" borderId="1" xfId="1" applyNumberFormat="1" applyFont="1" applyFill="1" applyBorder="1" applyAlignment="1" applyProtection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0" borderId="1" xfId="0" applyFont="1" applyFill="1" applyBorder="1"/>
    <xf numFmtId="0" fontId="3" fillId="11" borderId="1" xfId="0" applyFont="1" applyFill="1" applyBorder="1"/>
    <xf numFmtId="165" fontId="4" fillId="11" borderId="1" xfId="1" applyNumberFormat="1" applyFont="1" applyFill="1" applyBorder="1" applyAlignment="1" applyProtection="1">
      <alignment horizontal="right"/>
    </xf>
    <xf numFmtId="165" fontId="3" fillId="11" borderId="1" xfId="0" applyNumberFormat="1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2" borderId="1" xfId="0" applyFont="1" applyFill="1" applyBorder="1"/>
    <xf numFmtId="165" fontId="4" fillId="12" borderId="1" xfId="1" applyNumberFormat="1" applyFont="1" applyFill="1" applyBorder="1" applyAlignment="1" applyProtection="1">
      <alignment horizontal="right"/>
    </xf>
    <xf numFmtId="0" fontId="3" fillId="13" borderId="1" xfId="0" applyFont="1" applyFill="1" applyBorder="1"/>
    <xf numFmtId="165" fontId="4" fillId="13" borderId="1" xfId="1" applyNumberFormat="1" applyFont="1" applyFill="1" applyBorder="1" applyAlignment="1" applyProtection="1">
      <alignment horizontal="right"/>
    </xf>
    <xf numFmtId="165" fontId="3" fillId="13" borderId="1" xfId="1" applyNumberFormat="1" applyFont="1" applyFill="1" applyBorder="1" applyAlignment="1" applyProtection="1">
      <alignment horizontal="right"/>
    </xf>
    <xf numFmtId="0" fontId="3" fillId="13" borderId="1" xfId="0" applyFont="1" applyFill="1" applyBorder="1" applyAlignment="1">
      <alignment horizontal="right"/>
    </xf>
    <xf numFmtId="165" fontId="3" fillId="6" borderId="1" xfId="1" applyNumberFormat="1" applyFont="1" applyFill="1" applyBorder="1" applyAlignment="1" applyProtection="1">
      <alignment horizontal="right"/>
    </xf>
    <xf numFmtId="0" fontId="3" fillId="14" borderId="1" xfId="0" applyFont="1" applyFill="1" applyBorder="1"/>
    <xf numFmtId="165" fontId="4" fillId="14" borderId="1" xfId="1" applyNumberFormat="1" applyFont="1" applyFill="1" applyBorder="1" applyAlignment="1" applyProtection="1">
      <alignment horizontal="right"/>
    </xf>
    <xf numFmtId="165" fontId="3" fillId="14" borderId="1" xfId="1" applyNumberFormat="1" applyFont="1" applyFill="1" applyBorder="1" applyAlignment="1" applyProtection="1">
      <alignment horizontal="right"/>
    </xf>
    <xf numFmtId="0" fontId="3" fillId="14" borderId="1" xfId="0" applyFont="1" applyFill="1" applyBorder="1" applyAlignment="1">
      <alignment horizontal="right"/>
    </xf>
    <xf numFmtId="165" fontId="3" fillId="4" borderId="1" xfId="0" applyNumberFormat="1" applyFont="1" applyFill="1" applyBorder="1" applyAlignment="1">
      <alignment horizontal="right"/>
    </xf>
    <xf numFmtId="165" fontId="3" fillId="7" borderId="1" xfId="0" applyNumberFormat="1" applyFont="1" applyFill="1" applyBorder="1" applyAlignment="1">
      <alignment horizontal="right"/>
    </xf>
    <xf numFmtId="165" fontId="4" fillId="6" borderId="1" xfId="0" applyNumberFormat="1" applyFont="1" applyFill="1" applyBorder="1" applyAlignment="1">
      <alignment horizontal="right"/>
    </xf>
    <xf numFmtId="165" fontId="2" fillId="6" borderId="1" xfId="1" applyNumberFormat="1" applyFont="1" applyFill="1" applyBorder="1" applyAlignment="1" applyProtection="1">
      <alignment horizontal="right"/>
    </xf>
    <xf numFmtId="167" fontId="3" fillId="6" borderId="0" xfId="0" applyNumberFormat="1" applyFont="1" applyFill="1"/>
    <xf numFmtId="165" fontId="5" fillId="12" borderId="1" xfId="1" applyNumberFormat="1" applyFont="1" applyFill="1" applyBorder="1" applyAlignment="1" applyProtection="1">
      <alignment horizontal="right"/>
    </xf>
    <xf numFmtId="0" fontId="5" fillId="15" borderId="1" xfId="0" applyFont="1" applyFill="1" applyBorder="1" applyAlignment="1">
      <alignment horizontal="right"/>
    </xf>
    <xf numFmtId="0" fontId="3" fillId="16" borderId="1" xfId="0" applyFont="1" applyFill="1" applyBorder="1"/>
    <xf numFmtId="165" fontId="4" fillId="16" borderId="1" xfId="1" applyNumberFormat="1" applyFont="1" applyFill="1" applyBorder="1" applyAlignment="1" applyProtection="1">
      <alignment horizontal="right"/>
    </xf>
    <xf numFmtId="165" fontId="5" fillId="16" borderId="1" xfId="1" applyNumberFormat="1" applyFont="1" applyFill="1" applyBorder="1" applyAlignment="1" applyProtection="1">
      <alignment horizontal="right"/>
    </xf>
    <xf numFmtId="0" fontId="5" fillId="16" borderId="1" xfId="0" applyFont="1" applyFill="1" applyBorder="1" applyAlignment="1">
      <alignment horizontal="right"/>
    </xf>
    <xf numFmtId="164" fontId="2" fillId="17" borderId="1" xfId="0" applyNumberFormat="1" applyFont="1" applyFill="1" applyBorder="1" applyAlignment="1">
      <alignment horizontal="left"/>
    </xf>
    <xf numFmtId="164" fontId="2" fillId="18" borderId="1" xfId="0" applyNumberFormat="1" applyFont="1" applyFill="1" applyBorder="1" applyAlignment="1">
      <alignment horizontal="left"/>
    </xf>
    <xf numFmtId="0" fontId="3" fillId="19" borderId="1" xfId="0" applyFont="1" applyFill="1" applyBorder="1"/>
    <xf numFmtId="165" fontId="4" fillId="19" borderId="1" xfId="1" applyNumberFormat="1" applyFont="1" applyFill="1" applyBorder="1" applyAlignment="1" applyProtection="1">
      <alignment horizontal="right"/>
    </xf>
    <xf numFmtId="165" fontId="2" fillId="19" borderId="1" xfId="1" applyNumberFormat="1" applyFont="1" applyFill="1" applyBorder="1" applyAlignment="1" applyProtection="1">
      <alignment horizontal="right"/>
    </xf>
    <xf numFmtId="165" fontId="3" fillId="19" borderId="1" xfId="1" applyNumberFormat="1" applyFont="1" applyFill="1" applyBorder="1" applyAlignment="1" applyProtection="1">
      <alignment horizontal="right"/>
    </xf>
    <xf numFmtId="165" fontId="10" fillId="19" borderId="1" xfId="1" applyNumberFormat="1" applyFont="1" applyFill="1" applyBorder="1" applyAlignment="1" applyProtection="1">
      <alignment horizontal="right"/>
    </xf>
    <xf numFmtId="0" fontId="5" fillId="19" borderId="1" xfId="0" applyFont="1" applyFill="1" applyBorder="1" applyAlignment="1">
      <alignment horizontal="right"/>
    </xf>
    <xf numFmtId="0" fontId="0" fillId="19" borderId="0" xfId="0" applyFill="1"/>
    <xf numFmtId="165" fontId="5" fillId="19" borderId="1" xfId="0" applyNumberFormat="1" applyFont="1" applyFill="1" applyBorder="1" applyAlignment="1">
      <alignment horizontal="right"/>
    </xf>
    <xf numFmtId="165" fontId="5" fillId="19" borderId="1" xfId="1" applyNumberFormat="1" applyFont="1" applyFill="1" applyBorder="1" applyAlignment="1" applyProtection="1">
      <alignment horizontal="right"/>
    </xf>
    <xf numFmtId="0" fontId="3" fillId="19" borderId="1" xfId="0" applyFont="1" applyFill="1" applyBorder="1" applyAlignment="1">
      <alignment horizontal="right"/>
    </xf>
    <xf numFmtId="165" fontId="4" fillId="19" borderId="1" xfId="0" applyNumberFormat="1" applyFont="1" applyFill="1" applyBorder="1" applyAlignment="1">
      <alignment horizontal="right"/>
    </xf>
    <xf numFmtId="165" fontId="4" fillId="20" borderId="1" xfId="0" applyNumberFormat="1" applyFont="1" applyFill="1" applyBorder="1" applyAlignment="1">
      <alignment horizontal="right"/>
    </xf>
    <xf numFmtId="165" fontId="4" fillId="20" borderId="1" xfId="1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>
      <alignment horizontal="center"/>
    </xf>
    <xf numFmtId="165" fontId="12" fillId="0" borderId="1" xfId="1" applyNumberFormat="1" applyFont="1" applyFill="1" applyBorder="1" applyAlignment="1" applyProtection="1">
      <alignment horizontal="right"/>
    </xf>
  </cellXfs>
  <cellStyles count="3">
    <cellStyle name="Standard" xfId="0" builtinId="0"/>
    <cellStyle name="TableStyleLight1" xfId="2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69999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99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65" zoomScaleNormal="65" workbookViewId="0">
      <selection activeCell="D46" sqref="D46"/>
    </sheetView>
  </sheetViews>
  <sheetFormatPr baseColWidth="10" defaultColWidth="9.140625" defaultRowHeight="12.75" x14ac:dyDescent="0.2"/>
  <cols>
    <col min="1" max="1" width="10.28515625"/>
    <col min="2" max="2" width="42.28515625"/>
    <col min="3" max="3" width="21.140625" bestFit="1" customWidth="1"/>
    <col min="4" max="4" width="24.42578125" bestFit="1" customWidth="1"/>
    <col min="5" max="5" width="22.28515625"/>
    <col min="6" max="6" width="29.140625" customWidth="1"/>
    <col min="7" max="7" width="29.7109375" bestFit="1" customWidth="1"/>
    <col min="8" max="8" width="16.42578125" customWidth="1"/>
    <col min="9" max="9" width="16.42578125" hidden="1" customWidth="1"/>
    <col min="10" max="10" width="15.42578125"/>
    <col min="11" max="11" width="10.7109375"/>
    <col min="12" max="1027" width="11.5703125"/>
  </cols>
  <sheetData>
    <row r="1" spans="1:11" ht="18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4</v>
      </c>
      <c r="K1" s="1" t="s">
        <v>5</v>
      </c>
    </row>
    <row r="2" spans="1:11" ht="18.75" x14ac:dyDescent="0.3">
      <c r="A2" s="2" t="s">
        <v>12</v>
      </c>
      <c r="B2" s="16" t="s">
        <v>53</v>
      </c>
      <c r="C2" s="17">
        <v>89.11</v>
      </c>
      <c r="D2" s="17">
        <v>0</v>
      </c>
      <c r="E2" s="18">
        <v>354</v>
      </c>
      <c r="F2" s="18">
        <v>218.69</v>
      </c>
      <c r="G2" s="18">
        <v>22.5</v>
      </c>
      <c r="H2" s="18">
        <v>0</v>
      </c>
      <c r="I2" s="18"/>
      <c r="J2" s="16">
        <v>93</v>
      </c>
      <c r="K2" s="4">
        <f>SUM(J2)</f>
        <v>93</v>
      </c>
    </row>
    <row r="3" spans="1:11" ht="18.75" x14ac:dyDescent="0.3">
      <c r="A3" s="2" t="s">
        <v>13</v>
      </c>
      <c r="B3" s="16" t="s">
        <v>54</v>
      </c>
      <c r="C3" s="17">
        <v>112.54</v>
      </c>
      <c r="D3" s="17">
        <v>0</v>
      </c>
      <c r="E3" s="19">
        <v>7</v>
      </c>
      <c r="F3" s="19">
        <v>6.54</v>
      </c>
      <c r="G3" s="18">
        <v>6</v>
      </c>
      <c r="H3" s="18">
        <v>1.6</v>
      </c>
      <c r="I3" s="18"/>
      <c r="J3" s="16">
        <v>7</v>
      </c>
      <c r="K3" s="3">
        <f>SUM(J2:J3)/2</f>
        <v>50</v>
      </c>
    </row>
    <row r="4" spans="1:11" ht="18.75" x14ac:dyDescent="0.3">
      <c r="A4" s="2" t="s">
        <v>14</v>
      </c>
      <c r="B4" s="16" t="s">
        <v>55</v>
      </c>
      <c r="C4" s="81"/>
      <c r="D4" s="20">
        <v>0</v>
      </c>
      <c r="E4" s="18">
        <v>104</v>
      </c>
      <c r="F4" s="18">
        <v>33.21</v>
      </c>
      <c r="G4" s="18">
        <v>9</v>
      </c>
      <c r="H4" s="18">
        <v>0.8</v>
      </c>
      <c r="I4" s="18"/>
      <c r="J4" s="25">
        <v>52</v>
      </c>
      <c r="K4" s="3">
        <f>SUM(J2:J4)/3</f>
        <v>50.666666666666664</v>
      </c>
    </row>
    <row r="5" spans="1:11" ht="18.75" x14ac:dyDescent="0.3">
      <c r="A5" s="2" t="s">
        <v>15</v>
      </c>
      <c r="B5" s="16" t="s">
        <v>56</v>
      </c>
      <c r="C5" s="21">
        <v>112.54</v>
      </c>
      <c r="D5" s="21">
        <v>0</v>
      </c>
      <c r="E5" s="22">
        <v>298</v>
      </c>
      <c r="F5" s="22">
        <v>224.3</v>
      </c>
      <c r="G5" s="22">
        <v>29</v>
      </c>
      <c r="H5" s="22">
        <v>0</v>
      </c>
      <c r="I5" s="22"/>
      <c r="J5" s="25">
        <v>93</v>
      </c>
      <c r="K5" s="3">
        <f>SUM(J2:J5)/4</f>
        <v>61.25</v>
      </c>
    </row>
    <row r="6" spans="1:11" ht="18.75" x14ac:dyDescent="0.3">
      <c r="A6" s="2" t="s">
        <v>16</v>
      </c>
      <c r="B6" s="16" t="s">
        <v>57</v>
      </c>
      <c r="C6" s="21">
        <v>96.3</v>
      </c>
      <c r="D6" s="21">
        <v>0</v>
      </c>
      <c r="E6" s="22">
        <v>19</v>
      </c>
      <c r="F6" s="22">
        <v>15.89</v>
      </c>
      <c r="G6" s="22">
        <v>1.5</v>
      </c>
      <c r="H6" s="22">
        <v>0</v>
      </c>
      <c r="I6" s="22"/>
      <c r="J6" s="25">
        <v>7</v>
      </c>
      <c r="K6" s="3">
        <f>SUM(J2:J6)/5</f>
        <v>50.4</v>
      </c>
    </row>
    <row r="7" spans="1:11" ht="18.75" x14ac:dyDescent="0.3">
      <c r="A7" s="2" t="s">
        <v>17</v>
      </c>
      <c r="B7" s="16" t="s">
        <v>58</v>
      </c>
      <c r="C7" s="20">
        <v>85.6</v>
      </c>
      <c r="D7" s="20">
        <v>0</v>
      </c>
      <c r="E7" s="22">
        <v>57</v>
      </c>
      <c r="F7" s="22">
        <v>47.66</v>
      </c>
      <c r="G7" s="22">
        <v>4.5</v>
      </c>
      <c r="H7" s="22">
        <v>0</v>
      </c>
      <c r="I7" s="22"/>
      <c r="J7" s="25">
        <v>21</v>
      </c>
      <c r="K7" s="3">
        <f>SUM(J2:J7)/6</f>
        <v>45.5</v>
      </c>
    </row>
    <row r="8" spans="1:11" ht="18.75" x14ac:dyDescent="0.3">
      <c r="A8" s="2" t="s">
        <v>18</v>
      </c>
      <c r="B8" s="33" t="s">
        <v>59</v>
      </c>
      <c r="C8" s="34">
        <v>0</v>
      </c>
      <c r="D8" s="34">
        <v>44.62</v>
      </c>
      <c r="E8" s="35">
        <f>167*0.25</f>
        <v>41.75</v>
      </c>
      <c r="F8" s="35">
        <v>105.61</v>
      </c>
      <c r="G8" s="35">
        <v>12</v>
      </c>
      <c r="H8" s="35">
        <v>0</v>
      </c>
      <c r="I8" s="35"/>
      <c r="J8" s="36">
        <v>42</v>
      </c>
      <c r="K8" s="33">
        <f>SUM(J2:J8)/7</f>
        <v>45</v>
      </c>
    </row>
    <row r="9" spans="1:11" ht="18.75" x14ac:dyDescent="0.3">
      <c r="A9" s="2" t="s">
        <v>19</v>
      </c>
      <c r="B9" s="37" t="s">
        <v>60</v>
      </c>
      <c r="C9" s="38">
        <v>0</v>
      </c>
      <c r="D9" s="38">
        <v>100</v>
      </c>
      <c r="E9" s="39">
        <f>(1319*0.5)-25.48</f>
        <v>634.02</v>
      </c>
      <c r="F9" s="39">
        <f>863.55+290.65</f>
        <v>1154.1999999999998</v>
      </c>
      <c r="G9" s="39">
        <v>71.5</v>
      </c>
      <c r="H9" s="39">
        <v>2.4</v>
      </c>
      <c r="I9" s="39"/>
      <c r="J9" s="40">
        <f>335+116</f>
        <v>451</v>
      </c>
      <c r="K9" s="41">
        <f>SUM(J2:J9)/8</f>
        <v>95.75</v>
      </c>
    </row>
    <row r="10" spans="1:11" ht="18.75" x14ac:dyDescent="0.3">
      <c r="A10" s="2" t="s">
        <v>20</v>
      </c>
      <c r="B10" s="42" t="s">
        <v>61</v>
      </c>
      <c r="C10" s="43">
        <v>0</v>
      </c>
      <c r="D10" s="43">
        <v>0</v>
      </c>
      <c r="E10" s="44">
        <f>154*0.5</f>
        <v>77</v>
      </c>
      <c r="F10" s="44">
        <v>100.93</v>
      </c>
      <c r="G10" s="44">
        <v>13.5</v>
      </c>
      <c r="H10" s="44">
        <v>0</v>
      </c>
      <c r="I10" s="44"/>
      <c r="J10" s="45">
        <v>40</v>
      </c>
      <c r="K10" s="42">
        <f>SUM(J2:J10)/9</f>
        <v>89.555555555555557</v>
      </c>
    </row>
    <row r="11" spans="1:11" ht="18.75" x14ac:dyDescent="0.3">
      <c r="A11" s="2" t="s">
        <v>21</v>
      </c>
      <c r="B11" s="16" t="s">
        <v>62</v>
      </c>
      <c r="C11" s="21">
        <v>113.17</v>
      </c>
      <c r="D11" s="21">
        <v>0</v>
      </c>
      <c r="E11" s="19">
        <v>292</v>
      </c>
      <c r="F11" s="19">
        <v>220.56</v>
      </c>
      <c r="G11" s="19">
        <v>18</v>
      </c>
      <c r="H11" s="19">
        <v>4</v>
      </c>
      <c r="I11" s="19"/>
      <c r="J11" s="25">
        <v>86</v>
      </c>
      <c r="K11" s="3">
        <f>SUM(J2:J11)/10</f>
        <v>89.2</v>
      </c>
    </row>
    <row r="12" spans="1:11" ht="18.75" x14ac:dyDescent="0.3">
      <c r="A12" s="2" t="s">
        <v>22</v>
      </c>
      <c r="B12" s="48" t="s">
        <v>63</v>
      </c>
      <c r="C12" s="49">
        <v>0</v>
      </c>
      <c r="D12" s="49">
        <v>20.5</v>
      </c>
      <c r="E12" s="50">
        <f>213*0.5</f>
        <v>106.5</v>
      </c>
      <c r="F12" s="50">
        <v>150.47</v>
      </c>
      <c r="G12" s="50">
        <v>33.5</v>
      </c>
      <c r="H12" s="50">
        <v>4.8</v>
      </c>
      <c r="I12" s="50"/>
      <c r="J12" s="51">
        <v>60</v>
      </c>
      <c r="K12" s="48">
        <f>SUM(J2:J12)/11</f>
        <v>86.545454545454547</v>
      </c>
    </row>
    <row r="13" spans="1:11" ht="18.75" x14ac:dyDescent="0.3">
      <c r="A13" s="68" t="s">
        <v>23</v>
      </c>
      <c r="B13" s="53" t="s">
        <v>64</v>
      </c>
      <c r="C13" s="54">
        <v>0</v>
      </c>
      <c r="D13" s="54">
        <v>0</v>
      </c>
      <c r="E13" s="55">
        <f>192*0.25</f>
        <v>48</v>
      </c>
      <c r="F13" s="55">
        <v>142.06</v>
      </c>
      <c r="G13" s="55">
        <v>6</v>
      </c>
      <c r="H13" s="55">
        <v>1.6</v>
      </c>
      <c r="I13" s="55"/>
      <c r="J13" s="56">
        <v>54</v>
      </c>
      <c r="K13" s="53">
        <f>SUM(J2:J13)/12</f>
        <v>83.833333333333329</v>
      </c>
    </row>
    <row r="14" spans="1:11" ht="18.75" x14ac:dyDescent="0.3">
      <c r="A14" s="68" t="s">
        <v>24</v>
      </c>
      <c r="B14" s="8" t="s">
        <v>65</v>
      </c>
      <c r="C14" s="9">
        <v>0</v>
      </c>
      <c r="D14" s="9"/>
      <c r="E14" s="57">
        <v>314</v>
      </c>
      <c r="F14" s="57">
        <v>300.93</v>
      </c>
      <c r="G14" s="57">
        <v>47.5</v>
      </c>
      <c r="H14" s="57">
        <v>3.2</v>
      </c>
      <c r="I14" s="57"/>
      <c r="J14" s="14">
        <v>85</v>
      </c>
      <c r="K14" s="8">
        <f>SUM(J2:J14)/13</f>
        <v>83.92307692307692</v>
      </c>
    </row>
    <row r="15" spans="1:11" ht="18.75" x14ac:dyDescent="0.3">
      <c r="A15" s="68" t="s">
        <v>25</v>
      </c>
      <c r="B15" s="16" t="s">
        <v>66</v>
      </c>
      <c r="C15" s="81"/>
      <c r="D15" s="20">
        <v>0</v>
      </c>
      <c r="E15" s="18">
        <v>9</v>
      </c>
      <c r="F15" s="18">
        <v>12.15</v>
      </c>
      <c r="G15" s="18">
        <v>1.5</v>
      </c>
      <c r="H15" s="18">
        <v>0</v>
      </c>
      <c r="I15" s="18"/>
      <c r="J15" s="25">
        <v>5</v>
      </c>
      <c r="K15" s="3">
        <f>SUM(J2:J15)/14</f>
        <v>78.285714285714292</v>
      </c>
    </row>
    <row r="16" spans="1:11" ht="18.75" x14ac:dyDescent="0.3">
      <c r="A16" s="2" t="s">
        <v>26</v>
      </c>
      <c r="B16" s="16" t="s">
        <v>67</v>
      </c>
      <c r="C16" s="20">
        <v>90.95</v>
      </c>
      <c r="D16" s="20">
        <v>0</v>
      </c>
      <c r="E16" s="18">
        <v>25</v>
      </c>
      <c r="F16" s="18">
        <v>21.5</v>
      </c>
      <c r="G16" s="19">
        <v>1.5</v>
      </c>
      <c r="H16" s="19">
        <v>0</v>
      </c>
      <c r="I16" s="19"/>
      <c r="J16" s="25">
        <v>9</v>
      </c>
      <c r="K16" s="3">
        <f>SUM(J2:J16)/15</f>
        <v>73.666666666666671</v>
      </c>
    </row>
    <row r="17" spans="1:14" ht="18.75" x14ac:dyDescent="0.3">
      <c r="A17" s="5" t="s">
        <v>27</v>
      </c>
      <c r="B17" s="13" t="s">
        <v>68</v>
      </c>
      <c r="C17" s="31">
        <v>0</v>
      </c>
      <c r="D17" s="31">
        <v>0</v>
      </c>
      <c r="E17" s="58">
        <f>85*0.5</f>
        <v>42.5</v>
      </c>
      <c r="F17" s="58">
        <v>71.959999999999994</v>
      </c>
      <c r="G17" s="58">
        <v>11.5</v>
      </c>
      <c r="H17" s="58">
        <v>0.8</v>
      </c>
      <c r="I17" s="58"/>
      <c r="J17" s="32">
        <v>31</v>
      </c>
      <c r="K17" s="13">
        <f>SUM(J2:J17)/16</f>
        <v>71</v>
      </c>
    </row>
    <row r="18" spans="1:14" ht="18.75" x14ac:dyDescent="0.3">
      <c r="A18" s="2" t="s">
        <v>28</v>
      </c>
      <c r="B18" s="11" t="s">
        <v>69</v>
      </c>
      <c r="C18" s="59">
        <v>0</v>
      </c>
      <c r="D18" s="60">
        <v>0</v>
      </c>
      <c r="E18" s="61">
        <f>25*0.25</f>
        <v>6.25</v>
      </c>
      <c r="F18" s="52">
        <v>30.84</v>
      </c>
      <c r="G18" s="52">
        <v>0</v>
      </c>
      <c r="H18" s="52">
        <v>0</v>
      </c>
      <c r="I18" s="52"/>
      <c r="J18" s="12">
        <v>14</v>
      </c>
      <c r="K18" s="11">
        <f>SUM(J2:J18)/17</f>
        <v>67.647058823529406</v>
      </c>
      <c r="N18" t="s">
        <v>93</v>
      </c>
    </row>
    <row r="19" spans="1:14" s="76" customFormat="1" ht="18.75" x14ac:dyDescent="0.3">
      <c r="A19" s="69" t="s">
        <v>29</v>
      </c>
      <c r="B19" s="70" t="s">
        <v>70</v>
      </c>
      <c r="C19" s="80">
        <v>90.95</v>
      </c>
      <c r="D19" s="80">
        <v>0</v>
      </c>
      <c r="E19" s="73">
        <v>43</v>
      </c>
      <c r="F19" s="73">
        <v>36.450000000000003</v>
      </c>
      <c r="G19" s="73">
        <v>10.5</v>
      </c>
      <c r="H19" s="73">
        <v>0</v>
      </c>
      <c r="I19" s="73"/>
      <c r="J19" s="79">
        <v>14</v>
      </c>
      <c r="K19" s="70">
        <f>SUM(J2:J19)/18</f>
        <v>64.666666666666671</v>
      </c>
    </row>
    <row r="20" spans="1:14" ht="18.75" x14ac:dyDescent="0.3">
      <c r="A20" s="68" t="s">
        <v>30</v>
      </c>
      <c r="B20" s="16" t="s">
        <v>71</v>
      </c>
      <c r="C20" s="21">
        <v>0</v>
      </c>
      <c r="D20" s="21">
        <v>0</v>
      </c>
      <c r="E20" s="19">
        <v>0</v>
      </c>
      <c r="F20" s="19">
        <v>0</v>
      </c>
      <c r="G20" s="19">
        <v>3</v>
      </c>
      <c r="H20" s="19">
        <v>0</v>
      </c>
      <c r="I20" s="19"/>
      <c r="J20" s="26">
        <v>13</v>
      </c>
      <c r="K20" s="3">
        <f>SUM(J2:J20)/19</f>
        <v>61.94736842105263</v>
      </c>
    </row>
    <row r="21" spans="1:14" s="76" customFormat="1" ht="18.75" x14ac:dyDescent="0.3">
      <c r="A21" s="69" t="s">
        <v>31</v>
      </c>
      <c r="B21" s="70" t="s">
        <v>72</v>
      </c>
      <c r="C21" s="71">
        <v>112.54</v>
      </c>
      <c r="D21" s="72">
        <v>0</v>
      </c>
      <c r="E21" s="73">
        <v>124</v>
      </c>
      <c r="F21" s="74">
        <v>140.19</v>
      </c>
      <c r="G21" s="73">
        <v>37</v>
      </c>
      <c r="H21" s="73">
        <v>0.8</v>
      </c>
      <c r="I21" s="73"/>
      <c r="J21" s="75">
        <v>56</v>
      </c>
      <c r="K21" s="70">
        <f>SUM(J2:J21)/20</f>
        <v>61.65</v>
      </c>
    </row>
    <row r="22" spans="1:14" s="76" customFormat="1" ht="18.75" x14ac:dyDescent="0.3">
      <c r="A22" s="69" t="s">
        <v>32</v>
      </c>
      <c r="B22" s="70" t="s">
        <v>73</v>
      </c>
      <c r="C22" s="82"/>
      <c r="D22" s="71">
        <v>0</v>
      </c>
      <c r="E22" s="77"/>
      <c r="F22" s="77"/>
      <c r="G22" s="78">
        <v>4.5</v>
      </c>
      <c r="H22" s="78">
        <v>0.8</v>
      </c>
      <c r="I22" s="78"/>
      <c r="J22" s="79"/>
      <c r="K22" s="70">
        <f>SUM(J2:J22)/21</f>
        <v>58.714285714285715</v>
      </c>
    </row>
    <row r="23" spans="1:14" s="76" customFormat="1" ht="18.75" x14ac:dyDescent="0.3">
      <c r="A23" s="69" t="s">
        <v>33</v>
      </c>
      <c r="B23" s="70" t="s">
        <v>74</v>
      </c>
      <c r="C23" s="71">
        <v>107.8</v>
      </c>
      <c r="D23" s="71">
        <v>0</v>
      </c>
      <c r="E23" s="77">
        <v>33</v>
      </c>
      <c r="F23" s="77">
        <v>47.66</v>
      </c>
      <c r="G23" s="78">
        <v>6</v>
      </c>
      <c r="H23" s="78">
        <v>0.8</v>
      </c>
      <c r="I23" s="78"/>
      <c r="J23" s="75">
        <v>20</v>
      </c>
      <c r="K23" s="70">
        <f>SUM(J2:J23)/22</f>
        <v>56.954545454545453</v>
      </c>
    </row>
    <row r="24" spans="1:14" ht="18.75" x14ac:dyDescent="0.3">
      <c r="A24" s="68" t="s">
        <v>34</v>
      </c>
      <c r="B24" s="16" t="s">
        <v>75</v>
      </c>
      <c r="C24" s="82"/>
      <c r="D24" s="21">
        <v>0</v>
      </c>
      <c r="E24" s="22">
        <v>35</v>
      </c>
      <c r="F24" s="22">
        <v>28.97</v>
      </c>
      <c r="G24" s="23">
        <v>0</v>
      </c>
      <c r="H24" s="23">
        <v>0</v>
      </c>
      <c r="I24" s="23"/>
      <c r="J24" s="27">
        <v>9</v>
      </c>
      <c r="K24" s="4">
        <f>SUM(J2:J24)/23</f>
        <v>54.869565217391305</v>
      </c>
    </row>
    <row r="25" spans="1:14" ht="18.75" x14ac:dyDescent="0.3">
      <c r="A25" s="2" t="s">
        <v>35</v>
      </c>
      <c r="B25" s="16" t="s">
        <v>76</v>
      </c>
      <c r="C25" s="84">
        <v>35</v>
      </c>
      <c r="D25" s="21">
        <v>0</v>
      </c>
      <c r="E25" s="22"/>
      <c r="F25" s="22"/>
      <c r="G25" s="23"/>
      <c r="H25" s="23"/>
      <c r="I25" s="23"/>
      <c r="J25" s="27"/>
      <c r="K25" s="4">
        <f>SUM(J2:J25)/24</f>
        <v>52.583333333333336</v>
      </c>
    </row>
    <row r="26" spans="1:14" ht="18.75" x14ac:dyDescent="0.3">
      <c r="A26" s="2" t="s">
        <v>36</v>
      </c>
      <c r="B26" s="16" t="s">
        <v>77</v>
      </c>
      <c r="C26" s="84">
        <v>40</v>
      </c>
      <c r="D26" s="21">
        <v>0</v>
      </c>
      <c r="E26" s="22"/>
      <c r="F26" s="22"/>
      <c r="G26" s="23"/>
      <c r="H26" s="23"/>
      <c r="I26" s="23"/>
      <c r="J26" s="27"/>
      <c r="K26" s="4">
        <f>SUM(J2:J26)/25</f>
        <v>50.48</v>
      </c>
    </row>
    <row r="27" spans="1:14" ht="18.75" x14ac:dyDescent="0.3">
      <c r="A27" s="2" t="s">
        <v>37</v>
      </c>
      <c r="B27" s="24" t="s">
        <v>78</v>
      </c>
      <c r="C27" s="84">
        <v>50</v>
      </c>
      <c r="D27" s="21">
        <v>0</v>
      </c>
      <c r="E27" s="22"/>
      <c r="F27" s="22"/>
      <c r="G27" s="23"/>
      <c r="H27" s="23"/>
      <c r="I27" s="23"/>
      <c r="J27" s="28"/>
      <c r="K27" s="4">
        <f>SUM(J2:J27)/26</f>
        <v>48.53846153846154</v>
      </c>
    </row>
    <row r="28" spans="1:14" ht="18.75" x14ac:dyDescent="0.3">
      <c r="A28" s="5" t="s">
        <v>38</v>
      </c>
      <c r="B28" s="16" t="s">
        <v>79</v>
      </c>
      <c r="C28" s="84">
        <v>120</v>
      </c>
      <c r="D28" s="21">
        <v>0</v>
      </c>
      <c r="E28" s="22"/>
      <c r="F28" s="22"/>
      <c r="G28" s="23"/>
      <c r="H28" s="23"/>
      <c r="I28" s="23"/>
      <c r="J28" s="27"/>
      <c r="K28" s="4">
        <f>SUM(J2:J28)/27</f>
        <v>46.74074074074074</v>
      </c>
    </row>
    <row r="29" spans="1:14" ht="18.75" x14ac:dyDescent="0.3">
      <c r="A29" s="5" t="s">
        <v>39</v>
      </c>
      <c r="B29" s="16" t="s">
        <v>80</v>
      </c>
      <c r="C29" s="84">
        <v>20</v>
      </c>
      <c r="D29" s="21">
        <v>0</v>
      </c>
      <c r="E29" s="22"/>
      <c r="F29" s="22"/>
      <c r="G29" s="23"/>
      <c r="H29" s="23"/>
      <c r="I29" s="23"/>
      <c r="J29" s="25"/>
      <c r="K29" s="4">
        <f>SUM(J2:J29)/28</f>
        <v>45.071428571428569</v>
      </c>
    </row>
    <row r="30" spans="1:14" ht="18.75" x14ac:dyDescent="0.3">
      <c r="A30" s="5" t="s">
        <v>40</v>
      </c>
      <c r="B30" s="16" t="s">
        <v>81</v>
      </c>
      <c r="C30" s="84">
        <v>250</v>
      </c>
      <c r="D30" s="21">
        <v>0</v>
      </c>
      <c r="E30" s="23"/>
      <c r="F30" s="23"/>
      <c r="G30" s="23"/>
      <c r="H30" s="23"/>
      <c r="I30" s="23"/>
      <c r="J30" s="27"/>
      <c r="K30" s="4">
        <f>SUM(J2:J30)/29</f>
        <v>43.517241379310342</v>
      </c>
    </row>
    <row r="31" spans="1:14" ht="18.75" x14ac:dyDescent="0.3">
      <c r="A31" s="5" t="s">
        <v>41</v>
      </c>
      <c r="B31" s="16" t="s">
        <v>82</v>
      </c>
      <c r="C31" s="21"/>
      <c r="D31" s="21">
        <v>0</v>
      </c>
      <c r="E31" s="23"/>
      <c r="F31" s="23"/>
      <c r="G31" s="23"/>
      <c r="H31" s="23"/>
      <c r="I31" s="23"/>
      <c r="J31" s="27"/>
      <c r="K31" s="4">
        <f>SUM(J2:J31)/30</f>
        <v>42.06666666666667</v>
      </c>
    </row>
    <row r="32" spans="1:14" ht="18.75" x14ac:dyDescent="0.3">
      <c r="A32" s="5" t="s">
        <v>42</v>
      </c>
      <c r="B32" s="64" t="s">
        <v>83</v>
      </c>
      <c r="C32" s="65">
        <v>0</v>
      </c>
      <c r="D32" s="65"/>
      <c r="E32" s="66"/>
      <c r="F32" s="66"/>
      <c r="G32" s="66"/>
      <c r="H32" s="66"/>
      <c r="I32" s="66"/>
      <c r="J32" s="67"/>
      <c r="K32" s="64">
        <f>SUM(J2:J32)/31</f>
        <v>40.70967741935484</v>
      </c>
    </row>
    <row r="33" spans="1:11" ht="18.75" x14ac:dyDescent="0.3">
      <c r="A33" s="5" t="s">
        <v>43</v>
      </c>
      <c r="B33" s="16" t="s">
        <v>84</v>
      </c>
      <c r="C33" s="21"/>
      <c r="D33" s="21">
        <v>0</v>
      </c>
      <c r="E33" s="23"/>
      <c r="F33" s="23"/>
      <c r="G33" s="23"/>
      <c r="H33" s="23"/>
      <c r="I33" s="23"/>
      <c r="J33" s="27"/>
      <c r="K33" s="4">
        <f>SUM(J2:J33)/32</f>
        <v>39.4375</v>
      </c>
    </row>
    <row r="34" spans="1:11" ht="18.75" x14ac:dyDescent="0.3">
      <c r="A34" s="5" t="s">
        <v>44</v>
      </c>
      <c r="B34" s="16" t="s">
        <v>85</v>
      </c>
      <c r="C34" s="21">
        <v>200</v>
      </c>
      <c r="D34" s="21">
        <v>0</v>
      </c>
      <c r="E34" s="23"/>
      <c r="F34" s="23"/>
      <c r="G34" s="23"/>
      <c r="H34" s="23"/>
      <c r="I34" s="23"/>
      <c r="J34" s="27"/>
      <c r="K34" s="4">
        <f>SUM(J2:J34)/33</f>
        <v>38.242424242424242</v>
      </c>
    </row>
    <row r="35" spans="1:11" ht="18.75" x14ac:dyDescent="0.3">
      <c r="A35" s="5" t="s">
        <v>45</v>
      </c>
      <c r="B35" s="16" t="s">
        <v>94</v>
      </c>
      <c r="C35" s="21">
        <v>130</v>
      </c>
      <c r="D35" s="21">
        <v>0</v>
      </c>
      <c r="E35" s="23"/>
      <c r="F35" s="23"/>
      <c r="G35" s="23"/>
      <c r="H35" s="23"/>
      <c r="I35" s="23"/>
      <c r="J35" s="29"/>
      <c r="K35" s="4">
        <f>SUM(J2:J35)/34</f>
        <v>37.117647058823529</v>
      </c>
    </row>
    <row r="36" spans="1:11" ht="18.75" x14ac:dyDescent="0.3">
      <c r="A36" s="5" t="s">
        <v>46</v>
      </c>
      <c r="B36" s="16" t="s">
        <v>86</v>
      </c>
      <c r="C36" s="21">
        <v>80</v>
      </c>
      <c r="D36" s="21">
        <v>0</v>
      </c>
      <c r="E36" s="23"/>
      <c r="F36" s="23"/>
      <c r="G36" s="23"/>
      <c r="H36" s="23"/>
      <c r="I36" s="23"/>
      <c r="J36" s="30"/>
      <c r="K36" s="4">
        <f>SUM(J2:J36)/35</f>
        <v>36.057142857142857</v>
      </c>
    </row>
    <row r="37" spans="1:11" ht="18.75" x14ac:dyDescent="0.3">
      <c r="A37" s="5" t="s">
        <v>47</v>
      </c>
      <c r="B37" s="16" t="s">
        <v>87</v>
      </c>
      <c r="C37" s="21">
        <v>40</v>
      </c>
      <c r="D37" s="21">
        <v>0</v>
      </c>
      <c r="E37" s="23"/>
      <c r="F37" s="23"/>
      <c r="G37" s="23"/>
      <c r="H37" s="23"/>
      <c r="I37" s="23"/>
      <c r="J37" s="27"/>
      <c r="K37" s="4">
        <f>SUM(J2:J37)/36</f>
        <v>35.055555555555557</v>
      </c>
    </row>
    <row r="38" spans="1:11" ht="18.75" x14ac:dyDescent="0.3">
      <c r="A38" s="5" t="s">
        <v>48</v>
      </c>
      <c r="B38" s="16" t="s">
        <v>88</v>
      </c>
      <c r="C38" s="21">
        <v>50</v>
      </c>
      <c r="D38" s="21">
        <v>0</v>
      </c>
      <c r="E38" s="23"/>
      <c r="F38" s="23"/>
      <c r="G38" s="23"/>
      <c r="H38" s="23"/>
      <c r="I38" s="23"/>
      <c r="J38" s="27"/>
      <c r="K38" s="4">
        <f>SUM(J2:J38)/37</f>
        <v>34.108108108108105</v>
      </c>
    </row>
    <row r="39" spans="1:11" ht="18.75" x14ac:dyDescent="0.3">
      <c r="A39" s="5" t="s">
        <v>49</v>
      </c>
      <c r="B39" s="16" t="s">
        <v>89</v>
      </c>
      <c r="C39" s="21">
        <v>100</v>
      </c>
      <c r="D39" s="21">
        <v>0</v>
      </c>
      <c r="E39" s="23"/>
      <c r="F39" s="23"/>
      <c r="G39" s="23"/>
      <c r="H39" s="23"/>
      <c r="I39" s="23"/>
      <c r="J39" s="10"/>
      <c r="K39" s="4">
        <f>SUM(J2:J39)/38</f>
        <v>33.210526315789473</v>
      </c>
    </row>
    <row r="40" spans="1:11" ht="18.75" x14ac:dyDescent="0.3">
      <c r="A40" s="5" t="s">
        <v>50</v>
      </c>
      <c r="B40" s="16" t="s">
        <v>90</v>
      </c>
      <c r="C40" s="21"/>
      <c r="D40" s="21">
        <v>0</v>
      </c>
      <c r="E40" s="23"/>
      <c r="F40" s="23"/>
      <c r="G40" s="23"/>
      <c r="H40" s="23"/>
      <c r="I40" s="23"/>
      <c r="J40" s="10"/>
      <c r="K40" s="4">
        <f>SUM(J2:J40)/39</f>
        <v>32.358974358974358</v>
      </c>
    </row>
    <row r="41" spans="1:11" ht="18.75" x14ac:dyDescent="0.3">
      <c r="A41" s="5" t="s">
        <v>51</v>
      </c>
      <c r="B41" s="16" t="s">
        <v>91</v>
      </c>
      <c r="C41" s="21">
        <v>200</v>
      </c>
      <c r="D41" s="21">
        <v>0</v>
      </c>
      <c r="E41" s="23"/>
      <c r="F41" s="23"/>
      <c r="G41" s="23"/>
      <c r="H41" s="23"/>
      <c r="I41" s="23"/>
      <c r="J41" s="10"/>
      <c r="K41" s="4">
        <f>SUM(J2:J41)/40</f>
        <v>31.55</v>
      </c>
    </row>
    <row r="42" spans="1:11" ht="18.75" x14ac:dyDescent="0.3">
      <c r="A42" s="5" t="s">
        <v>52</v>
      </c>
      <c r="B42" s="46" t="s">
        <v>92</v>
      </c>
      <c r="C42" s="47">
        <v>0</v>
      </c>
      <c r="D42" s="47"/>
      <c r="E42" s="62"/>
      <c r="F42" s="62"/>
      <c r="G42" s="62"/>
      <c r="H42" s="62"/>
      <c r="I42" s="62"/>
      <c r="J42" s="63"/>
      <c r="K42" s="46">
        <f>SUM(J2:J42)/41</f>
        <v>30.780487804878049</v>
      </c>
    </row>
    <row r="43" spans="1:11" ht="18" x14ac:dyDescent="0.25">
      <c r="A43" s="83" t="s">
        <v>6</v>
      </c>
      <c r="B43" s="83"/>
      <c r="C43" s="6">
        <f t="shared" ref="C43:J43" si="0">SUM(C2:C42)</f>
        <v>2326.5</v>
      </c>
      <c r="D43" s="6">
        <f t="shared" si="0"/>
        <v>165.12</v>
      </c>
      <c r="E43" s="6">
        <f t="shared" si="0"/>
        <v>2670.02</v>
      </c>
      <c r="F43" s="6">
        <f t="shared" si="0"/>
        <v>3110.7699999999995</v>
      </c>
      <c r="G43" s="6">
        <f t="shared" si="0"/>
        <v>350</v>
      </c>
      <c r="H43" s="6">
        <f t="shared" si="0"/>
        <v>21.600000000000005</v>
      </c>
      <c r="I43" s="6">
        <f t="shared" si="0"/>
        <v>0</v>
      </c>
      <c r="J43" s="7">
        <f t="shared" si="0"/>
        <v>1262</v>
      </c>
      <c r="K43" s="4"/>
    </row>
    <row r="52" spans="4:4" x14ac:dyDescent="0.2">
      <c r="D52" s="15"/>
    </row>
  </sheetData>
  <mergeCells count="1">
    <mergeCell ref="A43:B43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cineasta</dc:creator>
  <cp:lastModifiedBy>Moffitt, Michael Benjamin</cp:lastModifiedBy>
  <cp:revision>37</cp:revision>
  <dcterms:created xsi:type="dcterms:W3CDTF">2018-07-10T12:03:01Z</dcterms:created>
  <dcterms:modified xsi:type="dcterms:W3CDTF">2020-01-07T18:18:56Z</dcterms:modified>
</cp:coreProperties>
</file>