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6.xml" ContentType="application/vnd.openxmlformats-officedocument.drawingml.chart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4.xml" ContentType="application/vnd.openxmlformats-officedocument.drawingml.chart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8.xml" ContentType="application/vnd.openxmlformats-officedocument.drawingml.chart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32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cpgplc-my.sharepoint.com/personal/hard_parikh_compass-usa_com/Documents/Desktop/infographic automation/Infographic-Automation/reports/"/>
    </mc:Choice>
  </mc:AlternateContent>
  <xr:revisionPtr revIDLastSave="8" documentId="8_{158E6E19-AD74-4040-9B6A-954E3A30DE44}" xr6:coauthVersionLast="47" xr6:coauthVersionMax="47" xr10:uidLastSave="{BB3C895C-D41D-4727-9D44-C5ABA45CF0C3}"/>
  <bookViews>
    <workbookView xWindow="1152" yWindow="1152" windowWidth="17280" windowHeight="8880" tabRatio="820" firstSheet="13" activeTab="13" xr2:uid="{FE202AF8-C620-4ACC-8DEC-02CA8D1B8BE0}"/>
  </bookViews>
  <sheets>
    <sheet name="Gardner_COPY FOR FUTURE month" sheetId="59" r:id="rId1"/>
    <sheet name="STEP BY STEP DIRECTIONS" sheetId="32" r:id="rId2"/>
    <sheet name="code_individual SDDR" sheetId="44" state="hidden" r:id="rId3"/>
    <sheet name="code_all SDDRs" sheetId="40" state="hidden" r:id="rId4"/>
    <sheet name="code_QA hyperlink" sheetId="49" state="hidden" r:id="rId5"/>
    <sheet name="Salem" sheetId="39" r:id="rId6"/>
    <sheet name="Donohue" sheetId="41" r:id="rId7"/>
    <sheet name="Gardner" sheetId="42" r:id="rId8"/>
    <sheet name="Soguero" sheetId="43" r:id="rId9"/>
    <sheet name="Russo" sheetId="45" r:id="rId10"/>
    <sheet name="Feltman" sheetId="46" r:id="rId11"/>
    <sheet name="reference sheet_indiv SDDR" sheetId="30" r:id="rId12"/>
    <sheet name="SDDR - RP+O" sheetId="58" r:id="rId13"/>
    <sheet name="All SDDR" sheetId="47" r:id="rId14"/>
    <sheet name="Overall - RP+O" sheetId="57" r:id="rId15"/>
    <sheet name="reference sheet_all SDDR" sheetId="48" r:id="rId16"/>
    <sheet name="print to pdf directions" sheetId="6" state="hidden" r:id="rId17"/>
    <sheet name="metrics location on report" sheetId="34" r:id="rId18"/>
    <sheet name="Hyperlinks" sheetId="51" r:id="rId19"/>
    <sheet name="SQL Query SDDR" sheetId="54" r:id="rId20"/>
    <sheet name="SQL Query Overall" sheetId="55" r:id="rId21"/>
    <sheet name="save to pdf directions" sheetId="52" r:id="rId22"/>
    <sheet name="notes for next month" sheetId="36" r:id="rId23"/>
  </sheets>
  <definedNames>
    <definedName name="_xlnm._FilterDatabase" localSheetId="14" hidden="1">'Overall - RP+O'!$A$4:$P$4</definedName>
    <definedName name="_xlnm._FilterDatabase" localSheetId="11" hidden="1">'reference sheet_indiv SDDR'!$A$6:$G$330</definedName>
    <definedName name="_xlnm._FilterDatabase" localSheetId="12" hidden="1">'SDDR - RP+O'!$B$87:$E$87</definedName>
    <definedName name="ExternalData_1" localSheetId="20" hidden="1">'SQL Query Overall'!$A$1:$E$55</definedName>
    <definedName name="ExternalData_1" localSheetId="19" hidden="1">'SQL Query SDDR'!$A$1:$F$325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30" i="30" l="1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F290" i="30"/>
  <c r="F289" i="30"/>
  <c r="F288" i="30"/>
  <c r="F287" i="30"/>
  <c r="F286" i="30"/>
  <c r="F285" i="30"/>
  <c r="F284" i="30"/>
  <c r="F283" i="30"/>
  <c r="F282" i="30"/>
  <c r="F281" i="30"/>
  <c r="F280" i="30"/>
  <c r="F279" i="30"/>
  <c r="F278" i="30"/>
  <c r="F277" i="30"/>
  <c r="F276" i="30"/>
  <c r="F275" i="30"/>
  <c r="F274" i="30"/>
  <c r="F273" i="30"/>
  <c r="F272" i="30"/>
  <c r="F271" i="30"/>
  <c r="F270" i="30"/>
  <c r="F269" i="30"/>
  <c r="F268" i="30"/>
  <c r="F267" i="30"/>
  <c r="F266" i="30"/>
  <c r="F265" i="30"/>
  <c r="F264" i="30"/>
  <c r="F263" i="30"/>
  <c r="F262" i="30"/>
  <c r="F261" i="30"/>
  <c r="F260" i="30"/>
  <c r="F259" i="30"/>
  <c r="F258" i="30"/>
  <c r="F257" i="30"/>
  <c r="F256" i="30"/>
  <c r="F255" i="30"/>
  <c r="F254" i="30"/>
  <c r="F253" i="30"/>
  <c r="F252" i="30"/>
  <c r="F251" i="30"/>
  <c r="F250" i="30"/>
  <c r="F249" i="30"/>
  <c r="F248" i="30"/>
  <c r="F247" i="30"/>
  <c r="F246" i="30"/>
  <c r="F245" i="30"/>
  <c r="F244" i="30"/>
  <c r="F243" i="30"/>
  <c r="F242" i="30"/>
  <c r="F241" i="30"/>
  <c r="F240" i="30"/>
  <c r="F239" i="30"/>
  <c r="F238" i="30"/>
  <c r="F237" i="30"/>
  <c r="F236" i="30"/>
  <c r="F235" i="30"/>
  <c r="F234" i="30"/>
  <c r="F233" i="30"/>
  <c r="F232" i="30"/>
  <c r="F231" i="30"/>
  <c r="F230" i="30"/>
  <c r="F229" i="30"/>
  <c r="F228" i="30"/>
  <c r="F227" i="30"/>
  <c r="F226" i="30"/>
  <c r="F225" i="30"/>
  <c r="F224" i="30"/>
  <c r="F223" i="30"/>
  <c r="F222" i="30"/>
  <c r="F221" i="30"/>
  <c r="F220" i="30"/>
  <c r="F219" i="30"/>
  <c r="F218" i="30"/>
  <c r="F217" i="30"/>
  <c r="F216" i="30"/>
  <c r="F215" i="30"/>
  <c r="F214" i="30"/>
  <c r="F213" i="30"/>
  <c r="F212" i="30"/>
  <c r="F211" i="30"/>
  <c r="F210" i="30"/>
  <c r="F209" i="30"/>
  <c r="F208" i="30"/>
  <c r="F207" i="30"/>
  <c r="F206" i="30"/>
  <c r="F205" i="30"/>
  <c r="F204" i="30"/>
  <c r="F203" i="30"/>
  <c r="F202" i="30"/>
  <c r="F201" i="30"/>
  <c r="F200" i="30"/>
  <c r="F199" i="30"/>
  <c r="F198" i="30"/>
  <c r="F197" i="30"/>
  <c r="F196" i="30"/>
  <c r="F195" i="30"/>
  <c r="F194" i="30"/>
  <c r="F193" i="30"/>
  <c r="F192" i="30"/>
  <c r="F191" i="30"/>
  <c r="F190" i="30"/>
  <c r="F189" i="30"/>
  <c r="F188" i="30"/>
  <c r="F187" i="30"/>
  <c r="F186" i="30"/>
  <c r="F185" i="30"/>
  <c r="F184" i="30"/>
  <c r="F183" i="30"/>
  <c r="F182" i="30"/>
  <c r="F181" i="30"/>
  <c r="F180" i="30"/>
  <c r="F179" i="30"/>
  <c r="F178" i="30"/>
  <c r="F177" i="30"/>
  <c r="F176" i="30"/>
  <c r="F175" i="30"/>
  <c r="F174" i="30"/>
  <c r="F173" i="30"/>
  <c r="F172" i="30"/>
  <c r="F171" i="30"/>
  <c r="F170" i="30"/>
  <c r="F169" i="30"/>
  <c r="F168" i="30"/>
  <c r="F167" i="30"/>
  <c r="F166" i="30"/>
  <c r="F165" i="30"/>
  <c r="F164" i="30"/>
  <c r="F163" i="30"/>
  <c r="F162" i="30"/>
  <c r="F161" i="30"/>
  <c r="F160" i="30"/>
  <c r="F159" i="30"/>
  <c r="F158" i="30"/>
  <c r="F157" i="30"/>
  <c r="F156" i="30"/>
  <c r="F155" i="30"/>
  <c r="F154" i="30"/>
  <c r="F153" i="30"/>
  <c r="F152" i="30"/>
  <c r="F151" i="30"/>
  <c r="F150" i="30"/>
  <c r="F149" i="30"/>
  <c r="F148" i="30"/>
  <c r="F147" i="30"/>
  <c r="F8" i="59" s="1"/>
  <c r="F146" i="30"/>
  <c r="F145" i="30"/>
  <c r="F144" i="30"/>
  <c r="H38" i="59" s="1"/>
  <c r="F143" i="30"/>
  <c r="F142" i="30"/>
  <c r="H31" i="59" s="1"/>
  <c r="F141" i="30"/>
  <c r="F140" i="30"/>
  <c r="F139" i="30"/>
  <c r="F138" i="30"/>
  <c r="F137" i="30"/>
  <c r="F136" i="30"/>
  <c r="F135" i="30"/>
  <c r="F134" i="30"/>
  <c r="E33" i="59" s="1"/>
  <c r="F133" i="30"/>
  <c r="F132" i="30"/>
  <c r="F131" i="30"/>
  <c r="F7" i="59" s="1"/>
  <c r="F130" i="30"/>
  <c r="K18" i="59" s="1"/>
  <c r="F129" i="30"/>
  <c r="F128" i="30"/>
  <c r="F127" i="30"/>
  <c r="F126" i="30"/>
  <c r="I14" i="59" s="1"/>
  <c r="F125" i="30"/>
  <c r="F124" i="30"/>
  <c r="F123" i="30"/>
  <c r="I20" i="59" s="1"/>
  <c r="F122" i="30"/>
  <c r="F121" i="30"/>
  <c r="F120" i="30"/>
  <c r="F119" i="30"/>
  <c r="G17" i="59" s="1"/>
  <c r="F118" i="30"/>
  <c r="F117" i="30"/>
  <c r="F116" i="30"/>
  <c r="F115" i="30"/>
  <c r="F114" i="30"/>
  <c r="F113" i="30"/>
  <c r="F112" i="30"/>
  <c r="F111" i="30"/>
  <c r="F110" i="30"/>
  <c r="F109" i="30"/>
  <c r="F108" i="30"/>
  <c r="F107" i="30"/>
  <c r="F106" i="30"/>
  <c r="F105" i="30"/>
  <c r="F104" i="30"/>
  <c r="F103" i="30"/>
  <c r="F102" i="30"/>
  <c r="F101" i="30"/>
  <c r="F100" i="30"/>
  <c r="F99" i="30"/>
  <c r="F98" i="30"/>
  <c r="F97" i="30"/>
  <c r="F96" i="30"/>
  <c r="F95" i="30"/>
  <c r="F94" i="30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E60" i="48"/>
  <c r="E59" i="48"/>
  <c r="E58" i="48"/>
  <c r="E57" i="48"/>
  <c r="E56" i="48"/>
  <c r="E55" i="48"/>
  <c r="E54" i="48"/>
  <c r="E53" i="48"/>
  <c r="E52" i="48"/>
  <c r="E51" i="48"/>
  <c r="E50" i="48"/>
  <c r="E49" i="48"/>
  <c r="E48" i="48"/>
  <c r="E47" i="48"/>
  <c r="E46" i="48"/>
  <c r="E45" i="48"/>
  <c r="E44" i="48"/>
  <c r="E43" i="48"/>
  <c r="E42" i="48"/>
  <c r="E41" i="48"/>
  <c r="E40" i="48"/>
  <c r="E39" i="48"/>
  <c r="E38" i="48"/>
  <c r="E37" i="48"/>
  <c r="E36" i="48"/>
  <c r="E35" i="48"/>
  <c r="E34" i="48"/>
  <c r="E33" i="48"/>
  <c r="E32" i="48"/>
  <c r="E31" i="48"/>
  <c r="E30" i="48"/>
  <c r="E29" i="48"/>
  <c r="E28" i="48"/>
  <c r="E27" i="48"/>
  <c r="E26" i="48"/>
  <c r="E25" i="48"/>
  <c r="E24" i="48"/>
  <c r="E23" i="48"/>
  <c r="F7" i="47" s="1"/>
  <c r="E22" i="48"/>
  <c r="E21" i="48"/>
  <c r="E20" i="48"/>
  <c r="E19" i="48"/>
  <c r="E18" i="48"/>
  <c r="E17" i="48"/>
  <c r="E16" i="48"/>
  <c r="E15" i="48"/>
  <c r="I20" i="47" s="1"/>
  <c r="E14" i="48"/>
  <c r="E13" i="48"/>
  <c r="E12" i="48"/>
  <c r="E11" i="48"/>
  <c r="E10" i="48"/>
  <c r="E9" i="48"/>
  <c r="D20" i="47" s="1"/>
  <c r="E8" i="48"/>
  <c r="E7" i="48"/>
  <c r="E31" i="59"/>
  <c r="D28" i="59"/>
  <c r="D15" i="59"/>
  <c r="K18" i="47"/>
  <c r="G20" i="47"/>
  <c r="D15" i="47"/>
  <c r="D20" i="59"/>
  <c r="H35" i="59"/>
  <c r="I14" i="47"/>
  <c r="G14" i="47"/>
  <c r="G17" i="47"/>
  <c r="F3" i="47"/>
  <c r="F3" i="46"/>
  <c r="F3" i="45"/>
  <c r="F3" i="43"/>
  <c r="F3" i="42"/>
  <c r="F3" i="41"/>
  <c r="F3" i="39"/>
  <c r="P7" i="57"/>
  <c r="G35" i="58"/>
  <c r="H35" i="58"/>
  <c r="I35" i="58"/>
  <c r="O35" i="57"/>
  <c r="N35" i="57"/>
  <c r="O19" i="57"/>
  <c r="N19" i="57"/>
  <c r="D14" i="51"/>
  <c r="C44" i="46"/>
  <c r="D13" i="51"/>
  <c r="C44" i="45" s="1"/>
  <c r="C44" i="43"/>
  <c r="D12" i="51"/>
  <c r="D11" i="51"/>
  <c r="C44" i="42" s="1"/>
  <c r="C44" i="41"/>
  <c r="D10" i="51"/>
  <c r="C44" i="39"/>
  <c r="D9" i="51"/>
  <c r="B4" i="51"/>
  <c r="C44" i="47"/>
  <c r="K38" i="59"/>
  <c r="D33" i="59"/>
  <c r="E32" i="59"/>
  <c r="D32" i="59"/>
  <c r="D31" i="59"/>
  <c r="G28" i="59"/>
  <c r="G20" i="59"/>
  <c r="G14" i="59"/>
  <c r="C11" i="59"/>
  <c r="F4" i="59"/>
  <c r="F3" i="59"/>
  <c r="D47" i="58"/>
  <c r="D59" i="58"/>
  <c r="H59" i="58"/>
  <c r="I59" i="58"/>
  <c r="G59" i="58"/>
  <c r="I47" i="58"/>
  <c r="H47" i="58"/>
  <c r="G47" i="58"/>
  <c r="D20" i="58"/>
  <c r="D9" i="58"/>
  <c r="I9" i="58"/>
  <c r="I20" i="58"/>
  <c r="H20" i="58"/>
  <c r="G20" i="58"/>
  <c r="H9" i="58"/>
  <c r="G9" i="58"/>
  <c r="F6" i="59" l="1"/>
  <c r="D54" i="58"/>
  <c r="I54" i="58"/>
  <c r="D55" i="58"/>
  <c r="I55" i="58"/>
  <c r="D56" i="58"/>
  <c r="D57" i="58"/>
  <c r="D39" i="58"/>
  <c r="I39" i="58"/>
  <c r="D40" i="58"/>
  <c r="I40" i="58"/>
  <c r="D41" i="58"/>
  <c r="I41" i="58"/>
  <c r="D42" i="58"/>
  <c r="I42" i="58"/>
  <c r="D43" i="58"/>
  <c r="D44" i="58"/>
  <c r="D45" i="58"/>
  <c r="D25" i="58"/>
  <c r="I25" i="58"/>
  <c r="D26" i="58"/>
  <c r="I26" i="58"/>
  <c r="D27" i="58"/>
  <c r="I27" i="58"/>
  <c r="D28" i="58"/>
  <c r="I28" i="58"/>
  <c r="D29" i="58"/>
  <c r="D35" i="58" s="1"/>
  <c r="I29" i="58"/>
  <c r="D30" i="58"/>
  <c r="I30" i="58"/>
  <c r="D31" i="58"/>
  <c r="I31" i="58"/>
  <c r="D32" i="58"/>
  <c r="D15" i="58"/>
  <c r="I15" i="58"/>
  <c r="D16" i="58"/>
  <c r="I16" i="58"/>
  <c r="D17" i="58"/>
  <c r="I17" i="58"/>
  <c r="D18" i="58"/>
  <c r="D4" i="58"/>
  <c r="I4" i="58"/>
  <c r="D5" i="58"/>
  <c r="I5" i="58"/>
  <c r="D6" i="58"/>
  <c r="I6" i="58"/>
  <c r="D7" i="58"/>
  <c r="D8" i="58"/>
  <c r="P25" i="57"/>
  <c r="P26" i="57"/>
  <c r="P27" i="57"/>
  <c r="P28" i="57"/>
  <c r="P29" i="57"/>
  <c r="P30" i="57"/>
  <c r="P31" i="57"/>
  <c r="P32" i="57"/>
  <c r="P33" i="57"/>
  <c r="P5" i="57"/>
  <c r="P6" i="57"/>
  <c r="P8" i="57"/>
  <c r="P9" i="57"/>
  <c r="P19" i="57" s="1"/>
  <c r="P10" i="57"/>
  <c r="P11" i="57"/>
  <c r="P12" i="57"/>
  <c r="P13" i="57"/>
  <c r="P14" i="57"/>
  <c r="P15" i="57"/>
  <c r="P16" i="57"/>
  <c r="P17" i="57"/>
  <c r="P35" i="57" l="1"/>
  <c r="H35" i="42"/>
  <c r="H35" i="43"/>
  <c r="H35" i="45"/>
  <c r="H35" i="46"/>
  <c r="H35" i="47"/>
  <c r="H35" i="41"/>
  <c r="H35" i="39"/>
  <c r="G28" i="46"/>
  <c r="G28" i="45"/>
  <c r="G28" i="43"/>
  <c r="G28" i="42"/>
  <c r="G28" i="39"/>
  <c r="G28" i="41"/>
  <c r="C14" i="51"/>
  <c r="C13" i="51"/>
  <c r="C12" i="51"/>
  <c r="C11" i="51"/>
  <c r="C10" i="51"/>
  <c r="C9" i="51"/>
  <c r="B2" i="51"/>
  <c r="G28" i="47" s="1"/>
  <c r="C11" i="46"/>
  <c r="C11" i="45"/>
  <c r="C11" i="43"/>
  <c r="B14" i="51"/>
  <c r="B13" i="51"/>
  <c r="B12" i="51"/>
  <c r="B11" i="51"/>
  <c r="C11" i="42" s="1"/>
  <c r="B10" i="51"/>
  <c r="C11" i="41" s="1"/>
  <c r="B9" i="51"/>
  <c r="C11" i="39" s="1"/>
  <c r="B3" i="51"/>
  <c r="C11" i="47"/>
  <c r="B8" i="49" a="1"/>
  <c r="B8" i="49" s="1"/>
  <c r="B27" i="49" a="1"/>
  <c r="B27" i="49" s="1"/>
  <c r="B64" i="49" a="1"/>
  <c r="B64" i="49" s="1"/>
  <c r="D15" i="39"/>
  <c r="F8" i="47"/>
  <c r="K38" i="47"/>
  <c r="H38" i="47"/>
  <c r="H31" i="47"/>
  <c r="D33" i="47"/>
  <c r="D32" i="47"/>
  <c r="D31" i="47"/>
  <c r="E33" i="47"/>
  <c r="E32" i="47"/>
  <c r="E31" i="47"/>
  <c r="D28" i="47"/>
  <c r="F6" i="47"/>
  <c r="F4" i="47"/>
  <c r="F8" i="46"/>
  <c r="K38" i="46"/>
  <c r="H38" i="46"/>
  <c r="H31" i="46"/>
  <c r="D33" i="46"/>
  <c r="D32" i="46"/>
  <c r="D31" i="46"/>
  <c r="E33" i="46"/>
  <c r="E32" i="46"/>
  <c r="E31" i="46"/>
  <c r="D28" i="46"/>
  <c r="F7" i="46"/>
  <c r="K18" i="46"/>
  <c r="I20" i="46"/>
  <c r="I14" i="46"/>
  <c r="G20" i="46"/>
  <c r="G17" i="46"/>
  <c r="G14" i="46"/>
  <c r="D20" i="46"/>
  <c r="D15" i="46"/>
  <c r="F6" i="46"/>
  <c r="F4" i="46"/>
  <c r="F8" i="45"/>
  <c r="K38" i="45"/>
  <c r="H38" i="45"/>
  <c r="H31" i="45"/>
  <c r="D33" i="45"/>
  <c r="D32" i="45"/>
  <c r="D31" i="45"/>
  <c r="E33" i="45"/>
  <c r="E32" i="45"/>
  <c r="E31" i="45"/>
  <c r="D28" i="45"/>
  <c r="F7" i="45"/>
  <c r="K18" i="45"/>
  <c r="I14" i="45"/>
  <c r="I20" i="45"/>
  <c r="G20" i="45"/>
  <c r="G17" i="45"/>
  <c r="G14" i="45"/>
  <c r="D20" i="45"/>
  <c r="D15" i="45"/>
  <c r="F6" i="45"/>
  <c r="F4" i="45"/>
  <c r="B19" i="40" a="1"/>
  <c r="B19" i="40" s="1"/>
  <c r="B27" i="40" a="1"/>
  <c r="B27" i="40" s="1"/>
  <c r="B50" i="40" a="1"/>
  <c r="B50" i="40" s="1"/>
  <c r="B59" i="40" a="1"/>
  <c r="B59" i="40" s="1"/>
  <c r="B68" i="40" a="1"/>
  <c r="B68" i="40" s="1"/>
  <c r="B92" i="40" a="1"/>
  <c r="B92" i="40" s="1"/>
  <c r="B101" i="40" a="1"/>
  <c r="B101" i="40" s="1"/>
  <c r="B110" i="40" a="1"/>
  <c r="B110" i="40" s="1"/>
  <c r="B134" i="40" a="1"/>
  <c r="B134" i="40" s="1"/>
  <c r="B136" i="40" a="1"/>
  <c r="B136" i="40" s="1"/>
  <c r="B168" i="40" a="1"/>
  <c r="B168" i="40" s="1"/>
  <c r="B193" i="40" a="1"/>
  <c r="B193" i="40" s="1"/>
  <c r="B206" i="40" a="1"/>
  <c r="B206" i="40" s="1"/>
  <c r="B230" i="40" a="1"/>
  <c r="B230" i="40" s="1"/>
  <c r="B248" i="40" a="1"/>
  <c r="B248" i="40" s="1"/>
  <c r="B250" i="40" a="1"/>
  <c r="B250" i="40" s="1"/>
  <c r="B259" i="40" a="1"/>
  <c r="B259" i="40" s="1"/>
  <c r="B286" i="40" a="1"/>
  <c r="B286" i="40" s="1"/>
  <c r="B295" i="40" a="1"/>
  <c r="B295" i="40" s="1"/>
  <c r="B296" i="40" a="1"/>
  <c r="B296" i="40" s="1"/>
  <c r="B307" i="40" a="1"/>
  <c r="B307" i="40" s="1"/>
  <c r="B402" i="40" a="1"/>
  <c r="B402" i="40" s="1"/>
  <c r="B419" i="40" a="1"/>
  <c r="B419" i="40" s="1"/>
  <c r="B428" i="40" a="1"/>
  <c r="B428" i="40" s="1"/>
  <c r="B441" i="40"/>
  <c r="B19" i="44" a="1"/>
  <c r="B19" i="44" s="1"/>
  <c r="B27" i="44" a="1"/>
  <c r="B27" i="44" s="1"/>
  <c r="B50" i="44" a="1"/>
  <c r="B50" i="44" s="1"/>
  <c r="B59" i="44" a="1"/>
  <c r="B59" i="44" s="1"/>
  <c r="B68" i="44" a="1"/>
  <c r="B68" i="44" s="1"/>
  <c r="B92" i="44" a="1"/>
  <c r="B92" i="44" s="1"/>
  <c r="B101" i="44" a="1"/>
  <c r="B101" i="44" s="1"/>
  <c r="B110" i="44" a="1"/>
  <c r="B110" i="44" s="1"/>
  <c r="B134" i="44" a="1"/>
  <c r="B134" i="44" s="1"/>
  <c r="B136" i="44" a="1"/>
  <c r="B136" i="44" s="1"/>
  <c r="B168" i="44" a="1"/>
  <c r="B168" i="44" s="1"/>
  <c r="B193" i="44" a="1"/>
  <c r="B193" i="44" s="1"/>
  <c r="B206" i="44" a="1"/>
  <c r="B206" i="44" s="1"/>
  <c r="B230" i="44" a="1"/>
  <c r="B230" i="44" s="1"/>
  <c r="B248" i="44" a="1"/>
  <c r="B248" i="44" s="1"/>
  <c r="B250" i="44" a="1"/>
  <c r="B250" i="44" s="1"/>
  <c r="B259" i="44" a="1"/>
  <c r="B259" i="44" s="1"/>
  <c r="B286" i="44" a="1"/>
  <c r="B286" i="44" s="1"/>
  <c r="B295" i="44" a="1"/>
  <c r="B295" i="44" s="1"/>
  <c r="B296" i="44" a="1"/>
  <c r="B296" i="44" s="1"/>
  <c r="B307" i="44" a="1"/>
  <c r="B307" i="44" s="1"/>
  <c r="F8" i="43"/>
  <c r="K38" i="43"/>
  <c r="H38" i="43"/>
  <c r="H31" i="43"/>
  <c r="D33" i="43"/>
  <c r="D32" i="43"/>
  <c r="D31" i="43"/>
  <c r="E33" i="43"/>
  <c r="E32" i="43"/>
  <c r="E31" i="43"/>
  <c r="D28" i="43"/>
  <c r="F7" i="43"/>
  <c r="K18" i="43"/>
  <c r="I20" i="43"/>
  <c r="I14" i="43"/>
  <c r="G20" i="43"/>
  <c r="G17" i="43"/>
  <c r="G14" i="43"/>
  <c r="D20" i="43"/>
  <c r="D15" i="43"/>
  <c r="F6" i="43"/>
  <c r="F4" i="43"/>
  <c r="F8" i="42"/>
  <c r="K38" i="42"/>
  <c r="H38" i="42"/>
  <c r="H31" i="42"/>
  <c r="D33" i="42"/>
  <c r="D32" i="42"/>
  <c r="D31" i="42"/>
  <c r="E33" i="42"/>
  <c r="E32" i="42"/>
  <c r="E31" i="42"/>
  <c r="D28" i="42"/>
  <c r="F7" i="42"/>
  <c r="K18" i="42"/>
  <c r="I20" i="42"/>
  <c r="I14" i="42"/>
  <c r="G20" i="42"/>
  <c r="G17" i="42"/>
  <c r="G14" i="42"/>
  <c r="D20" i="42"/>
  <c r="D15" i="42"/>
  <c r="F6" i="42"/>
  <c r="F4" i="42"/>
  <c r="F8" i="41"/>
  <c r="D33" i="41"/>
  <c r="D32" i="41"/>
  <c r="D31" i="41"/>
  <c r="K38" i="41"/>
  <c r="H38" i="41"/>
  <c r="H31" i="41"/>
  <c r="E33" i="41"/>
  <c r="E32" i="41"/>
  <c r="E31" i="41"/>
  <c r="D28" i="41"/>
  <c r="F7" i="41"/>
  <c r="K18" i="41"/>
  <c r="I20" i="41"/>
  <c r="I14" i="41"/>
  <c r="G20" i="41"/>
  <c r="G17" i="41"/>
  <c r="G14" i="41"/>
  <c r="D20" i="41"/>
  <c r="D15" i="41"/>
  <c r="F6" i="41"/>
  <c r="F4" i="41"/>
  <c r="K38" i="39"/>
  <c r="H38" i="39"/>
  <c r="E33" i="39"/>
  <c r="D33" i="39"/>
  <c r="E32" i="39"/>
  <c r="D32" i="39"/>
  <c r="H31" i="39"/>
  <c r="E31" i="39"/>
  <c r="D31" i="39"/>
  <c r="D28" i="39"/>
  <c r="I20" i="39"/>
  <c r="G20" i="39"/>
  <c r="D20" i="39"/>
  <c r="K18" i="39"/>
  <c r="G17" i="39"/>
  <c r="I14" i="39"/>
  <c r="G14" i="39"/>
  <c r="F8" i="39"/>
  <c r="F7" i="39"/>
  <c r="F6" i="39"/>
  <c r="F4" i="39"/>
  <c r="K38" i="34" l="1"/>
  <c r="H38" i="34"/>
  <c r="I35" i="34"/>
  <c r="E33" i="34"/>
  <c r="D33" i="34"/>
  <c r="E32" i="34"/>
  <c r="D32" i="34"/>
  <c r="H31" i="34"/>
  <c r="E31" i="34"/>
  <c r="D31" i="34"/>
  <c r="D28" i="34"/>
  <c r="I20" i="34"/>
  <c r="G20" i="34"/>
  <c r="D20" i="34"/>
  <c r="K18" i="34"/>
  <c r="G17" i="34"/>
  <c r="D15" i="34"/>
  <c r="I14" i="34"/>
  <c r="G14" i="34"/>
  <c r="F8" i="34"/>
  <c r="F7" i="3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617F15-2BDE-437C-BB52-D652C6C4B07C}" keepAlive="1" name="Query - Query1" description="Connection to the 'Query1' query in the workbook." type="5" refreshedVersion="0" background="1" saveData="1">
    <dbPr connection="Provider=Microsoft.Mashup.OleDb.1;Data Source=$Workbook$;Location=Query1;Extended Properties=&quot;&quot;" command="SELECT * FROM [Query1]"/>
  </connection>
  <connection id="2" xr16:uid="{6B4C33AC-E48C-4BDE-AA17-F03F1B1678B2}" keepAlive="1" name="Query - Query2" description="Connection to the 'Query2' query in the workbook." type="5" refreshedVersion="8" background="1" saveData="1">
    <dbPr connection="Provider=Microsoft.Mashup.OleDb.1;Data Source=$Workbook$;Location=Query2;Extended Properties=&quot;&quot;" command="SELECT * FROM [Query2]"/>
  </connection>
  <connection id="3" xr16:uid="{1CB91AB3-F983-4EAD-9F6B-3769745467EE}" keepAlive="1" name="Query - Query3" description="Connection to the 'Query3' query in the workbook." type="5" refreshedVersion="8" background="1" saveData="1">
    <dbPr connection="Provider=Microsoft.Mashup.OleDb.1;Data Source=$Workbook$;Location=Query3;Extended Properties=&quot;&quot;" command="SELECT * FROM [Query3]"/>
  </connection>
  <connection id="4" xr16:uid="{60F7EEBC-30BE-4E81-AD48-6F00D972E0A3}" keepAlive="1" name="Query - Query4" description="Connection to the 'Query4' query in the workbook." type="5" refreshedVersion="0" background="1" saveData="1">
    <dbPr connection="Provider=Microsoft.Mashup.OleDb.1;Data Source=$Workbook$;Location=Query4;Extended Properties=&quot;&quot;" command="SELECT * FROM [Query4]"/>
  </connection>
  <connection id="5" xr16:uid="{05C47B00-2299-4091-9A1E-8FB36CC9C3D1}" keepAlive="1" name="Query - Query5" description="Connection to the 'Query5' query in the workbook." type="5" refreshedVersion="0" background="1" saveData="1">
    <dbPr connection="Provider=Microsoft.Mashup.OleDb.1;Data Source=$Workbook$;Location=Query5;Extended Properties=&quot;&quot;" command="SELECT * FROM [Query5]"/>
  </connection>
  <connection id="6" xr16:uid="{C3CB65B3-6FE4-4332-BCAD-14462389F45C}" keepAlive="1" name="Query - Query6" description="Connection to the 'Query6' query in the workbook." type="5" refreshedVersion="0" background="1" saveData="1">
    <dbPr connection="Provider=Microsoft.Mashup.OleDb.1;Data Source=$Workbook$;Location=Query6;Extended Properties=&quot;&quot;" command="SELECT * FROM [Query6]"/>
  </connection>
  <connection id="7" xr16:uid="{620E24BA-09FA-4613-9F29-18C13946B83B}" keepAlive="1" name="Query - Query7" description="Connection to the 'Query7' query in the workbook." type="5" refreshedVersion="8" background="1" saveData="1">
    <dbPr connection="Provider=Microsoft.Mashup.OleDb.1;Data Source=$Workbook$;Location=Query7;Extended Properties=&quot;&quot;" command="SELECT * FROM [Query7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<sst xmlns="http://schemas.openxmlformats.org/spreadsheetml/2006/main" count="2654" uniqueCount="568">
  <si>
    <t>Accounts with Failed Audits (&lt;90%)</t>
  </si>
  <si>
    <t xml:space="preserve"> ⚠️</t>
  </si>
  <si>
    <t xml:space="preserve"> Accounts</t>
  </si>
  <si>
    <t>Total Missed Critical Questions</t>
  </si>
  <si>
    <t>Completed Health &amp; Sanitation Audits​</t>
  </si>
  <si>
    <t>of units</t>
  </si>
  <si>
    <t>Open Tickets​</t>
  </si>
  <si>
    <t>Overall Average Score​</t>
  </si>
  <si>
    <t>Total Resolved Tickets</t>
  </si>
  <si>
    <r>
      <t xml:space="preserve">Avg Ticket Resolution Time </t>
    </r>
    <r>
      <rPr>
        <b/>
        <i/>
        <sz val="8"/>
        <color theme="0"/>
        <rFont val="Century Gothic"/>
        <family val="2"/>
      </rPr>
      <t>(Days)</t>
    </r>
  </si>
  <si>
    <t>Comments to Open Ended Questions</t>
  </si>
  <si>
    <t>Accounts with &lt;10 Monthly VOC Responses</t>
  </si>
  <si>
    <t>of active units participating in LTF</t>
  </si>
  <si>
    <t>Top Categories Driving Negative Comments</t>
  </si>
  <si>
    <t>(# of comments)</t>
  </si>
  <si>
    <t xml:space="preserve">AI Identified Comments with Foreign Objects </t>
  </si>
  <si>
    <t>Average CSAT for Accounts with Foreign Objects in Comments</t>
  </si>
  <si>
    <t>ORIGAMI &amp; RED PHONE</t>
  </si>
  <si>
    <t># Foreign Objects Reported</t>
  </si>
  <si>
    <t>Steps to Create Monthly Infographic</t>
  </si>
  <si>
    <t>updated 10.08.2024</t>
  </si>
  <si>
    <t>PRE-WORK: Set-up Computer to Run Report</t>
  </si>
  <si>
    <t>Step 1</t>
  </si>
  <si>
    <t>Get service account access (ask Ashu Tiwari to help &gt; atiwari@e15group.com) </t>
  </si>
  <si>
    <t>Step 2</t>
  </si>
  <si>
    <t>Download ODBC --&gt; </t>
  </si>
  <si>
    <t>ODBC Driver | Snowflake Documentation </t>
  </si>
  <si>
    <t>Step 3</t>
  </si>
  <si>
    <t>Open excel &amp; try to connect to snowflake (if it doesn't work, might need more admin access) </t>
  </si>
  <si>
    <t>PART 1: Open Necessary Files</t>
  </si>
  <si>
    <r>
      <t xml:space="preserve">In Microsoft teams, open </t>
    </r>
    <r>
      <rPr>
        <b/>
        <i/>
        <sz val="11"/>
        <color theme="1"/>
        <rFont val="Aptos Narrow"/>
        <family val="2"/>
        <scheme val="minor"/>
      </rPr>
      <t>'Monthly Infographic_Excel Template'</t>
    </r>
    <r>
      <rPr>
        <sz val="11"/>
        <color theme="1"/>
        <rFont val="Aptos Narrow"/>
        <family val="2"/>
        <scheme val="minor"/>
      </rPr>
      <t xml:space="preserve"> (link below)</t>
    </r>
  </si>
  <si>
    <t>10.08.2024_Monthly Infographic_Job Aid &amp; Templates.xlsx</t>
  </si>
  <si>
    <r>
      <t xml:space="preserve">In Microsoft teams, open folder with all needed SQL Code </t>
    </r>
    <r>
      <rPr>
        <b/>
        <i/>
        <sz val="11"/>
        <color theme="1"/>
        <rFont val="Aptos Narrow"/>
        <family val="2"/>
        <scheme val="minor"/>
      </rPr>
      <t>'Monthly Infographic_SQL Queries'</t>
    </r>
    <r>
      <rPr>
        <sz val="11"/>
        <color theme="1"/>
        <rFont val="Aptos Narrow"/>
        <family val="2"/>
        <scheme val="minor"/>
      </rPr>
      <t xml:space="preserve"> (link below)</t>
    </r>
  </si>
  <si>
    <t>Monthly Infographic_SQL Queries</t>
  </si>
  <si>
    <t>PART 2: Pulling in Data from Snowflake - Individual SDDR</t>
  </si>
  <si>
    <r>
      <t xml:space="preserve">In </t>
    </r>
    <r>
      <rPr>
        <b/>
        <i/>
        <sz val="11"/>
        <color theme="1"/>
        <rFont val="Aptos Narrow"/>
        <family val="2"/>
        <scheme val="minor"/>
      </rPr>
      <t xml:space="preserve">'Monthly Infographic_Excel Template':  </t>
    </r>
    <r>
      <rPr>
        <sz val="11"/>
        <color theme="1"/>
        <rFont val="Aptos Narrow"/>
        <family val="2"/>
        <scheme val="minor"/>
      </rPr>
      <t>go to 'Data' at the top &gt; 'Get Data' &gt; 'From Other Sources' &gt; 'From ODBC'</t>
    </r>
  </si>
  <si>
    <r>
      <t>Select Snowflake as your datasource &gt; copy &amp; paste</t>
    </r>
    <r>
      <rPr>
        <b/>
        <i/>
        <sz val="11"/>
        <color theme="1"/>
        <rFont val="Aptos Narrow"/>
        <family val="2"/>
        <scheme val="minor"/>
      </rPr>
      <t xml:space="preserve"> 'Monthly infographic V3'</t>
    </r>
    <r>
      <rPr>
        <sz val="11"/>
        <color theme="1"/>
        <rFont val="Aptos Narrow"/>
        <family val="2"/>
        <scheme val="minor"/>
      </rPr>
      <t xml:space="preserve"> code into the SQL statement box &gt; Hit 'ok'</t>
    </r>
  </si>
  <si>
    <t>Hit 'Load' once a preview of the table appears</t>
  </si>
  <si>
    <t>Step 4</t>
  </si>
  <si>
    <t>Query output will appear in new tab in excel</t>
  </si>
  <si>
    <t>PART 3: Pulling in Data to Report Templates - Individual SDDR</t>
  </si>
  <si>
    <t>From newly loaded tab from Snowflake, copy columns with statistics that can update each month: YR, MO, Statistic, Label (columns C-F)</t>
  </si>
  <si>
    <r>
      <t>Paste into tab</t>
    </r>
    <r>
      <rPr>
        <b/>
        <i/>
        <sz val="11"/>
        <color theme="1"/>
        <rFont val="Aptos Narrow"/>
        <family val="2"/>
        <scheme val="minor"/>
      </rPr>
      <t xml:space="preserve"> 'reference sheet_indiv SDDR' </t>
    </r>
    <r>
      <rPr>
        <sz val="11"/>
        <color theme="1"/>
        <rFont val="Aptos Narrow"/>
        <family val="2"/>
        <scheme val="minor"/>
      </rPr>
      <t>columns YR, MO, Statistic, Label (columns D-G)</t>
    </r>
  </si>
  <si>
    <t>Double-check that Step 2 updates the statistics on tabs: Salem, Donohue, Gardner, Soguero, Russo and Feltman</t>
  </si>
  <si>
    <t>Double-check that each report's graphs are still legible, make any needed adjustments</t>
  </si>
  <si>
    <t>PART 4: Pulling in Data from Snowflake - Aggregated SDDR</t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</si>
  <si>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'Aggregated Monthly Infographic'</t>
    </r>
  </si>
  <si>
    <r>
      <t xml:space="preserve">Repeat Part 3 pasting into tab  </t>
    </r>
    <r>
      <rPr>
        <b/>
        <i/>
        <sz val="11"/>
        <color theme="1"/>
        <rFont val="Aptos Narrow"/>
        <family val="2"/>
        <scheme val="minor"/>
      </rPr>
      <t>'reference sheet_all SDDR' '</t>
    </r>
  </si>
  <si>
    <t>PART 5: Pulling in Data from Snowflake - Hyperlinks</t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</si>
  <si>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'QA Monthly Infographic - Hyperlinks''</t>
    </r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</si>
  <si>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'VOC Monthly Infographic - Hyperlinks''</t>
    </r>
  </si>
  <si>
    <t>PART 6: Creating Hyperlinks</t>
  </si>
  <si>
    <t>run each sql query</t>
  </si>
  <si>
    <t>download all files</t>
  </si>
  <si>
    <t>manually combine files as needed (for example, all outputs relating to QA combine into one file)</t>
  </si>
  <si>
    <t>rename each bottom tab as needed &amp; format as needed (for example, made column header row a different color and ensure all text is aligned to the left)</t>
  </si>
  <si>
    <t>Step 5</t>
  </si>
  <si>
    <t>save files as excel to teams folder (Path = E15 Channel &gt; Analytics &gt; Analytics Hours &gt; Monthly Infographic &gt; Hyperlinks)</t>
  </si>
  <si>
    <t>*Use naming convention 'Topic_Month Year_SDDR', for example 'QA_Sep_ 2024_Russo'</t>
  </si>
  <si>
    <t>Step 6</t>
  </si>
  <si>
    <t>On each file, Click the three little dots &gt; 'Copy link'  &gt;'Settings' &gt; ensure 'People in CPGPLC' is selected &gt; ensure More Settings reads 'Can View' &gt; Apply )</t>
  </si>
  <si>
    <t>Step 7</t>
  </si>
  <si>
    <t>Copy hyperlink &amp; paste into the 'Hyperlinks' tab on the infographic using this format that puts hyperlink in quotations --&gt; ="hyperlink"</t>
  </si>
  <si>
    <t>Step 8</t>
  </si>
  <si>
    <t>In the report template, reference the hyperlink using this formula --&gt; =hyperlink(B3, "Health &amp; Sanitation")….where B3 is the hyperlink on another sheet in this same excel file</t>
  </si>
  <si>
    <t>PART 7: PDF'ing &amp; Emailing Reports</t>
  </si>
  <si>
    <r>
      <t xml:space="preserve">Follow steps on tab </t>
    </r>
    <r>
      <rPr>
        <b/>
        <i/>
        <sz val="11"/>
        <color theme="1"/>
        <rFont val="Aptos Narrow"/>
        <family val="2"/>
        <scheme val="minor"/>
      </rPr>
      <t xml:space="preserve">'save to pdf directions' </t>
    </r>
    <r>
      <rPr>
        <sz val="11"/>
        <color theme="1"/>
        <rFont val="Aptos Narrow"/>
        <family val="2"/>
        <scheme val="minor"/>
      </rPr>
      <t>to create pdfs for all 7 tabs: Salem, Donohue, Gardner, Soguero, Russo, Feltman and All SDDR</t>
    </r>
  </si>
  <si>
    <t xml:space="preserve">Email each SDDR their own report while CC'ing Laura Powers. </t>
  </si>
  <si>
    <t>Email Laura Powers the 'All SDDR' report</t>
  </si>
  <si>
    <t>/// as of 9.26.2024 ///</t>
  </si>
  <si>
    <t>SQL Query for Monthly Infographic - Individual Data Per SDDR</t>
  </si>
  <si>
    <t>**Each month, just update Month and Year in Rows 500 and 501</t>
  </si>
  <si>
    <t>-- Last Edits: 9/24/2024</t>
  </si>
  <si>
    <t>WITH QA_BASE_1 AS (</t>
  </si>
  <si>
    <t xml:space="preserve">    SELECT *</t>
  </si>
  <si>
    <t xml:space="preserve">    FROM FLIK_ANALYTICS.CURIOSITY.SURVEYS_COMBINED</t>
  </si>
  <si>
    <t xml:space="preserve">    WHERE (UNIT_BUSINESS_PORTFOLIO &lt;&gt; 'Test' or UNIT_BUSINESS_PORTFOLIO is null)  -- Excludes 'test' portfolios but includes 'null' portfolios</t>
  </si>
  <si>
    <t xml:space="preserve">    AND SURVEY_ID = 'SV_cBggdZ7uWwWjmgl' -- Include only QA survey</t>
  </si>
  <si>
    <t xml:space="preserve">    AND UNIT_SAP_NUMBER NOT IN ('1', '4440', '33940') -- Removes test accounts</t>
  </si>
  <si>
    <t xml:space="preserve">    AND RESPONSE_VALID = 'Yes' -- Only valid responses</t>
  </si>
  <si>
    <t xml:space="preserve">    AND ISGOLDLISTACTIVE = TRUE -- Only active accounts</t>
  </si>
  <si>
    <t>)</t>
  </si>
  <si>
    <t>, QA_M1 AS (</t>
  </si>
  <si>
    <t xml:space="preserve">    SELECT  HIERARCHY_SCOTT_DAVIS_DIRECT_REPORTS AS SCOTT_DAVIS_DIRECT_REPORTS, 1 AS METRIC_ID, YEAR(AUDIT_DATE) AS YR, MONTH(AUDIT_DATE) AS MO, COUNT(DISTINCT RESPONSE_ID) AS STATISTIC</t>
  </si>
  <si>
    <t xml:space="preserve">    FROM QA_BASE_1</t>
  </si>
  <si>
    <t xml:space="preserve">    GROUP BY SCOTT_DAVIS_DIRECT_REPORTS, YR, MO</t>
  </si>
  <si>
    <t xml:space="preserve">    ORDER BY YR DESC, MO DESC, SCOTT_DAVIS_DIRECT_REPORTS</t>
  </si>
  <si>
    <t>, QA_M2 AS (</t>
  </si>
  <si>
    <t xml:space="preserve">    SELECT  HIERARCHY_SCOTT_DAVIS_DIRECT_REPORTS AS SCOTT_DAVIS_DIRECT_REPORTS, 2 AS METRIC_ID, YEAR(AUDIT_DATE) AS YR, MONTH(AUDIT_DATE) AS MO, COUNT(DISTINCT UNIT_SAP_NUMBER) AS STATISTIC</t>
  </si>
  <si>
    <t>, QA_BASE_2 AS (</t>
  </si>
  <si>
    <t>SELECT *</t>
  </si>
  <si>
    <t>FROM FLIK_ANALYTICS.CURIOSITY.SURVEYS_COMBINED</t>
  </si>
  <si>
    <t>WHERE (UNIT_BUSINESS_PORTFOLIO &lt;&gt; 'Test' or UNIT_BUSINESS_PORTFOLIO is null)  -- Excludes 'test' portfolios but includes 'null' portfolios</t>
  </si>
  <si>
    <t>AND SURVEY_ID = 'SV_cBggdZ7uWwWjmgl' -- Include only QA survey</t>
  </si>
  <si>
    <t>AND UNIT_SAP_NUMBER NOT IN ('1', '4440', '33940') -- Removes test accounts</t>
  </si>
  <si>
    <t>AND RESPONSE_VALID = 'Yes' -- Only valid responses</t>
  </si>
  <si>
    <t>AND ISGOLDLISTACTIVE = TRUE -- Only active accounts</t>
  </si>
  <si>
    <t>AND CATEGORY = 'Total Score' AND CATEGORY_SCORE_ID = 'PercentScore' -- Only total score</t>
  </si>
  <si>
    <t>, QA_M3 AS (</t>
  </si>
  <si>
    <t>SELECT  HIERARCHY_SCOTT_DAVIS_DIRECT_REPORTS AS SCOTT_DAVIS_DIRECT_REPORTS, 3 AS METRIC_ID, YEAR(AUDIT_DATE) AS YR, MONTH(AUDIT_DATE) AS MO, ROUND(AVG(CATEGORY_SCORE),2) AS STATISTIC</t>
  </si>
  <si>
    <t>FROM QA_BASE_2</t>
  </si>
  <si>
    <t>GROUP BY SCOTT_DAVIS_DIRECT_REPORTS, YR, MO</t>
  </si>
  <si>
    <t>ORDER BY YR DESC, MO DESC, SCOTT_DAVIS_DIRECT_REPORTS</t>
  </si>
  <si>
    <t>, QA_BASE_M4_M5 AS (</t>
  </si>
  <si>
    <t>SELECT  HIERARCHY_SCOTT_DAVIS_DIRECT_REPORTS AS SCOTT_DAVIS_DIRECT_REPORTS,  YEAR(AUDIT_DATE) AS YR, MONTH(AUDIT_DATE) AS MO,</t>
  </si>
  <si>
    <t>COUNT(CASE WHEN CATEGORY_SCORE &lt; 90 THEN 1 END) AS COUNT_BELOW_90, -- Count of audits below 90</t>
  </si>
  <si>
    <t>ROUND((COUNT(CASE WHEN CATEGORY_SCORE &lt; 90 THEN 1 END) / COUNT(CATEGORY_SCORE)), 2) AS PERCENTAGE_BELOW_90 -- Percentage of audits below 90</t>
  </si>
  <si>
    <t>, QA_M4_M5 AS (</t>
  </si>
  <si>
    <t xml:space="preserve">    (SELECT SCOTT_DAVIS_DIRECT_REPORTS, 4 AS METRIC_ID, YR, MO, COUNT_BELOW_90 AS STATISTIC</t>
  </si>
  <si>
    <t xml:space="preserve">    FROM QA_BASE_M4_M5</t>
  </si>
  <si>
    <t xml:space="preserve">    UNION ALL</t>
  </si>
  <si>
    <t xml:space="preserve">    -- Percentage of failed audits</t>
  </si>
  <si>
    <t xml:space="preserve">    SELECT SCOTT_DAVIS_DIRECT_REPORTS, 5 AS METRIC_ID, YR, MO, PERCENTAGE_BELOW_90 AS STATISTIC</t>
  </si>
  <si>
    <t xml:space="preserve">    FROM QA_BASE_M4_M5)</t>
  </si>
  <si>
    <t>-- Last Edits: 9/23/2024</t>
  </si>
  <si>
    <t>, CTE_BASE_3 AS (</t>
  </si>
  <si>
    <t xml:space="preserve">    AND DATATYPE = 'Tickets' -- Only tickets</t>
  </si>
  <si>
    <t>, QA_M6 AS (</t>
  </si>
  <si>
    <t xml:space="preserve">    SELECT HIERARCHY_SCOTT_DAVIS_DIRECT_REPORTS AS SCOTT_DAVIS_DIRECT_REPORTS, 6 AS METRIC_ID, YEAR(TICKET_CREATION_DATE_EST) AS YR, MONTH(TICKET_CREATION_DATE_EST) AS MO, COUNT(TICKET_ID) AS STATISTIC</t>
  </si>
  <si>
    <t xml:space="preserve">    FROM CTE_BASE_3</t>
  </si>
  <si>
    <t xml:space="preserve">    WHERE TICKET_STATUS = 'Closed' -- Only closed tickets</t>
  </si>
  <si>
    <t xml:space="preserve">    GROUP BY HIERARCHY_SCOTT_DAVIS_DIRECT_REPORTS, YR, MO</t>
  </si>
  <si>
    <t>, QA_M7 AS (</t>
  </si>
  <si>
    <t xml:space="preserve">    SELECT HIERARCHY_SCOTT_DAVIS_DIRECT_REPORTS AS SCOTT_DAVIS_DIRECT_REPORTS, 7 AS METRIC_ID, YEAR(TICKET_CREATION_DATE_EST) AS YR, MONTH(TICKET_CREATION_DATE_EST) AS MO, ROUND(AVG(TICKET_DAYS_TO_CLOSE), 2) AS STATISTIC</t>
  </si>
  <si>
    <t>, QA_M13_M14_M15 AS (</t>
  </si>
  <si>
    <t>SELECT HIERARCHY_SCOTT_DAVIS_DIRECT_REPORTS AS SCOTT_DAVIS_DIRECT_REPORTS,</t>
  </si>
  <si>
    <t>CASE WHEN QUESTION_RESPONSE LIKE '%(MINOR)%' THEN 13</t>
  </si>
  <si>
    <t>WHEN QUESTION_RESPONSE LIKE '%(MAJOR)%' THEN 14</t>
  </si>
  <si>
    <t>WHEN QUESTION_RESPONSE LIKE '%(CRITICAL)%' THEN 15</t>
  </si>
  <si>
    <t>END AS METRIC_ID, YEAR(AUDIT_DATE) AS YR, MONTH(AUDIT_DATE) AS MO,</t>
  </si>
  <si>
    <t>COUNT(METRIC_ID) AS STATISTIC</t>
  </si>
  <si>
    <t>WHERE (UNIT_BUSINESS_PORTFOLIO &lt;&gt; 'Test' or UNIT_BUSINESS_PORTFOLIO is null)  -- excludes 'test' portfolios but includes 'null' portfolios</t>
  </si>
  <si>
    <t>AND UNIT_SAP_NUMBER NOT IN ('1', '4440', '33940') -- removes test B&amp;I account &amp; Insights test accounts</t>
  </si>
  <si>
    <t>AND DATATYPE = 'Responses' -- Only responses</t>
  </si>
  <si>
    <t>AND QUESTION_TYPE = 'MC' -- Only multiple choice questions</t>
  </si>
  <si>
    <t>AND METRIC_ID IS NOT NULL -- Only questions with (MINOR), (MAJOR), or (CRITICAL) in the response</t>
  </si>
  <si>
    <t>AND QUESTION_TEXT &lt;&gt; 'Reason for selecting NO' -- Excludes the 'Reason for selecting NO' question</t>
  </si>
  <si>
    <t>GROUP BY HIERARCHY_SCOTT_DAVIS_DIRECT_REPORTS, YR, MO, METRIC_ID</t>
  </si>
  <si>
    <t>ORDER BY YR DESC, MO DESC, SCOTT_DAVIS_DIRECT_REPORTS, METRIC_ID</t>
  </si>
  <si>
    <t>, QA_BASE_FAIL_1 AS (</t>
  </si>
  <si>
    <t xml:space="preserve">    SELECT RESPONSE_ID, UNIT_SAP_NUMBER, HIERARCHY_SCOTT_DAVIS_DIRECT_REPORTS AS SCOTT_DAVIS_DIRECT_REPORTS, YEAR(AUDIT_DATE) AS YR, MONTH(AUDIT_DATE) AS MO,</t>
  </si>
  <si>
    <t xml:space="preserve">    ROUND(AVG(CATEGORY_SCORE),2) AS SCORE,</t>
  </si>
  <si>
    <t xml:space="preserve">    CASE WHEN SCORE &lt; 90 THEN 'FAIL'</t>
  </si>
  <si>
    <t xml:space="preserve">    ELSE 'PASS'</t>
  </si>
  <si>
    <t xml:space="preserve">    END AS "PASS_FAIL"</t>
  </si>
  <si>
    <t xml:space="preserve">    AND CATEGORY = 'Total Score' AND CATEGORY_SCORE_ID = 'PercentScore' -- Only total score</t>
  </si>
  <si>
    <t xml:space="preserve">    GROUP BY RESPONSE_ID, UNIT_SAP_NUMBER, HIERARCHY_SCOTT_DAVIS_DIRECT_REPORTS, YR, MO</t>
  </si>
  <si>
    <t xml:space="preserve">    ORDER BY YR DESC, MO DESC, HIERARCHY_SCOTT_DAVIS_DIRECT_REPORTS</t>
  </si>
  <si>
    <t>, QA_BASE_TICKETS AS (</t>
  </si>
  <si>
    <t>SELECT HIERARCHY_SCOTT_DAVIS_DIRECT_REPORTS AS SCOTT_DAVIS_DIRECT_REPORTS, UNIT_SAP_NUMBER, YEAR(TICKET_CREATION_DATE_EST) AS YR, MONTH(TICKET_CREATION_DATE_EST) AS MO, COUNT(TICKET_ID) AS CLOSED_TICKETS</t>
  </si>
  <si>
    <t>AND DATATYPE = 'Tickets' -- Only tickets</t>
  </si>
  <si>
    <t>AND TICKET_STATUS = 'Closed' -- Only closed tickets</t>
  </si>
  <si>
    <t>GROUP BY HIERARCHY_SCOTT_DAVIS_DIRECT_REPORTS, UNIT_SAP_NUMBER, YR, MO</t>
  </si>
  <si>
    <t>, QA_M8 AS (</t>
  </si>
  <si>
    <t>SELECT a.SCOTT_DAVIS_DIRECT_REPORTS,8 AS METRIC_ID, a.YR, a.MO, CASE WHEN SUM(b.CLOSED_TICKETS) IS NULL THEN 0 ELSE SUM(b.CLOSED_TICKETS) END AS STATISTIC</t>
  </si>
  <si>
    <t>FROM (SELECT * FROM QA_BASE_FAIL_1 WHERE PASS_FAIL = 'FAIL') a</t>
  </si>
  <si>
    <t>LEFT JOIN QA_BASE_TICKETS b</t>
  </si>
  <si>
    <t>ON a.UNIT_SAP_NUMBER = b.UNIT_SAP_NUMBER</t>
  </si>
  <si>
    <t>AND a.YR = b.YR</t>
  </si>
  <si>
    <t>AND a.MO = b.MO</t>
  </si>
  <si>
    <t>GROUP BY ALL</t>
  </si>
  <si>
    <t>ORDER BY a.YR DESC, a.MO DESC, a.SCOTT_DAVIS_DIRECT_REPORTS</t>
  </si>
  <si>
    <t>, QA_BASE_TICKETS_TIME AS (</t>
  </si>
  <si>
    <t>SELECT HIERARCHY_SCOTT_DAVIS_DIRECT_REPORTS AS SCOTT_DAVIS_DIRECT_REPORTS,RESPONSE_ID, UNIT_SAP_NUMBER, YEAR(TICKET_CREATION_DATE_EST) AS YR, MONTH(TICKET_CREATION_DATE_EST) AS MO, TICKET_DAYS_TO_CLOSE</t>
  </si>
  <si>
    <t>, QA_M9 AS (</t>
  </si>
  <si>
    <t>SELECT a.SCOTT_DAVIS_DIRECT_REPORTS,9 AS METRIC_ID, a.YR, a.MO, CASE WHEN ROUND(AVG(b.TICKET_DAYS_TO_CLOSE), 2) IS NULL THEN 0 ELSE ROUND(AVG(b.TICKET_DAYS_TO_CLOSE), 2) END AS STATISTIC</t>
  </si>
  <si>
    <t>LEFT JOIN QA_BASE_TICKETS_TIME b</t>
  </si>
  <si>
    <t>ON a.RESPONSE_ID = b.RESPONSE_ID</t>
  </si>
  <si>
    <t>AND a.UNIT_SAP_NUMBER = b.UNIT_SAP_NUMBER</t>
  </si>
  <si>
    <t>, QA_M10_M11_M12 AS (</t>
  </si>
  <si>
    <t>CASE WHEN QUESTION_RESPONSE LIKE '%(MINOR)%' THEN 10</t>
  </si>
  <si>
    <t>WHEN QUESTION_RESPONSE LIKE '%(MAJOR)%' THEN 11</t>
  </si>
  <si>
    <t>WHEN QUESTION_RESPONSE LIKE '%(CRITICAL)%' THEN 12</t>
  </si>
  <si>
    <t>AND RESPONSE_ID IN (SELECT RESPONSE_ID FROM QA_BASE_FAIL_1 WHERE PASS_FAIL = 'FAIL') -- Only failed audits</t>
  </si>
  <si>
    <t>, QA_M16 AS (</t>
  </si>
  <si>
    <t>SELECT HIERARCHY_SCOTT_DAVIS_DIRECT_REPORTS AS SCOTT_DAVIS_DIRECT_REPORTS,16 AS METRIC_ID, YEAR(TICKET_CREATION_DATE_EST) AS YR, MONTH(TICKET_CREATION_DATE_EST) AS MO,</t>
  </si>
  <si>
    <t xml:space="preserve"> COUNT(TICKET_ID) AS STATISTIC</t>
  </si>
  <si>
    <t xml:space="preserve">FROM FLIK_ANALYTICS.CURIOSITY.SURVEYS_COMBINED </t>
  </si>
  <si>
    <t>AND SURVEY_ID = 'SV_cBggdZ7uWwWjmgl' -- include only QA survey</t>
  </si>
  <si>
    <t>AND RESPONSE_VALID = 'Yes' -- only valid responses</t>
  </si>
  <si>
    <t>AND DATATYPE = 'Tickets' -- only tickets</t>
  </si>
  <si>
    <t>AND TICKET_STATUS = 'Open' -- only open tickets</t>
  </si>
  <si>
    <t>AND ISGOLDLISTACTIVE = TRUE -- only active accounts</t>
  </si>
  <si>
    <t>AND SCOTT_DAVIS_DIRECT_REPORTS IS NOT NULL -- only non-null SDDR</t>
  </si>
  <si>
    <t>AND SCOTT_DAVIS_DIRECT_REPORTS &lt;&gt; '' -- only non-blank SDDR</t>
  </si>
  <si>
    <t>, BASE_VOC AS (</t>
  </si>
  <si>
    <t>SELECT b.unit_name, b.ext_ref,a.PARTICIPATES_IN_LETS_TALK_FLIK, a.scott_davis_direct_reports</t>
  </si>
  <si>
    <t>FROM FLIK_ANALYTICS.DIM.GOLDLIST a</t>
  </si>
  <si>
    <t>RIGHT JOIN FLIK_INTERMEDIATE.FIVETRAN.INT_FLIK_FIVETRAN__GOLDLIST_ACTIVE_UNITS b</t>
  </si>
  <si>
    <t>ON a.extref = b.ext_ref</t>
  </si>
  <si>
    <t>WHERE lower(a.PARTICIPATES_IN_LETS_TALK_FLIK) NOT IN ('no', 'test')</t>
  </si>
  <si>
    <t>AND b.ext_ref NOT IN ('1', '4440', '33940', '5')</t>
  </si>
  <si>
    <t>), VOC_M17 AS (</t>
  </si>
  <si>
    <t>SELECT HIERARCHY_SCOTT_DAVIS_DIRECT_REPORTS AS SCOTT_DAVIS_DIRECT_REPORTS, 17 AS METRIC_ID, YEAR(AUDIT_DATE) AS YR, MONTH(AUDIT_DATE) AS MO, COUNT(DISTINCT RESPONSE_ID) AS STATISTIC</t>
  </si>
  <si>
    <t>WHERE (UNIT_BUSINESS_PORTFOLIO &lt;&gt; 'Test' OR UNIT_BUSINESS_PORTFOLIO is null)  -- removes test B&amp;I account &amp; Insights test accounts</t>
  </si>
  <si>
    <t>AND DATATYPE = 'Responses' -- only responses</t>
  </si>
  <si>
    <t>AND SURVEY_NAME ILIKE '%voc%' -- only VOC surveys</t>
  </si>
  <si>
    <t>AND ISGOLDLISTACTIVE = TRUE -- only active units</t>
  </si>
  <si>
    <t>AND UNIT_SAP_NUMBER IN (SELECT ext_ref FROM BASE_VOC) -- only units that participated in LETS TALK FLIK</t>
  </si>
  <si>
    <t>AND HIERARCHY_SCOTT_DAVIS_DIRECT_REPORTS IS NOT NULL -- only responses with a SDDR</t>
  </si>
  <si>
    <t>, CTE_AI AS (</t>
  </si>
  <si>
    <t xml:space="preserve">SELECT a.RESPONSE_ID, a.QUESTION_TEXT, a.QUESTION_RESPONSE,  a.UNIT_SAP_NUMBER, b.UNIT_NAME, b.SCOTT_DAVIS_DIRECT_REPORTS, a.FULL_RECORDED_DATE, ROUND(AVG(a.SENTIMENT), 2) AS AVG_SENTIMENT, </t>
  </si>
  <si>
    <t>CASE WHEN AVG_SENTIMENT &lt;= 2.33 AND AVG_SENTIMENT &gt;= 1 THEN 'Negative'</t>
  </si>
  <si>
    <t>WHEN AVG_SENTIMENT &gt; 2.33 AND AVG_SENTIMENT &lt; 3.67 THEN 'Neutral'</t>
  </si>
  <si>
    <t xml:space="preserve">WHEN AVG_SENTIMENT &lt;= 5 AND AVG_SENTIMENT &gt;= 3.67 THEN 'Positive' </t>
  </si>
  <si>
    <t>END AS SENTIMENT_LABEL</t>
  </si>
  <si>
    <t>FROM FLIK_INTERMEDIATE.DATA_SCIENCE.FLIK_DATA_SCIENCE__FLIK_VOC_COMMENTS_CATEGORIES a</t>
  </si>
  <si>
    <t>LEFT JOIN BASE_VOC b</t>
  </si>
  <si>
    <t>ON a.UNIT_SAP_NUMBER = b.EXT_REF</t>
  </si>
  <si>
    <t>GROUP BY  a.RESPONSE_ID, a.QUESTION_TEXT, a.QUESTION_RESPONSE,  a.UNIT_SAP_NUMBER, b.UNIT_NAME, b.SCOTT_DAVIS_DIRECT_REPORTS, a.FULL_RECORDED_DATE</t>
  </si>
  <si>
    <t>), VOC_AI_M18 AS (</t>
  </si>
  <si>
    <t>SELECT SCOTT_DAVIS_DIRECT_REPORTS, 18 AS METRIC_ID, YEAR(FULL_RECORDED_DATE) AS YR, MONTH(FULL_RECORDED_DATE) AS MO, COUNT(*) AS STATISTIC</t>
  </si>
  <si>
    <t>FROM CTE_AI</t>
  </si>
  <si>
    <t>WHERE SCOTT_DAVIS_DIRECT_REPORTS IS NOT NULL</t>
  </si>
  <si>
    <t>, VOC_AI_M19_M21 AS (</t>
  </si>
  <si>
    <t>SELECT SCOTT_DAVIS_DIRECT_REPORTS, CASE WHEN SENTIMENT_LABEL = 'Negative' THEN 20</t>
  </si>
  <si>
    <t>WHEN SENTIMENT_LABEL = 'Neutral' THEN 21</t>
  </si>
  <si>
    <t>WHEN SENTIMENT_LABEL = 'Positive' THEN 19</t>
  </si>
  <si>
    <t>END AS METRIC_ID, YEAR(FULL_RECORDED_DATE) AS YR, MONTH(FULL_RECORDED_DATE) AS MO, COUNT(*) AS STATISTIC</t>
  </si>
  <si>
    <t>GROUP BY SCOTT_DAVIS_DIRECT_REPORTS, YR, MO, SENTIMENT_LABEL</t>
  </si>
  <si>
    <t>ORDER BY YR DESC, MO DESC, SCOTT_DAVIS_DIRECT_REPORTS, METRIC_ID ASC</t>
  </si>
  <si>
    <t>, VOC_AI_M22_M24 AS (</t>
  </si>
  <si>
    <t>SELECT SCOTT_DAVIS_DIRECT_REPORTS, CASE WHEN SENTIMENT_LABEL = 'Negative' THEN 23</t>
  </si>
  <si>
    <t>WHEN SENTIMENT_LABEL = 'Neutral' THEN 24</t>
  </si>
  <si>
    <t>WHEN SENTIMENT_LABEL = 'Positive' THEN 22</t>
  </si>
  <si>
    <t>END AS METRIC_ID, YEAR(FULL_RECORDED_DATE) AS YR, MONTH(FULL_RECORDED_DATE) AS MO,</t>
  </si>
  <si>
    <t>(COUNT(QUESTION_RESPONSE)) / SUM(COUNT( QUESTION_RESPONSE)) OVER (PARTITION BY SCOTT_DAVIS_DIRECT_REPORTS, YR, MO) AS STATISTIC</t>
  </si>
  <si>
    <t>-- Top Categories Driving Negaive Comments - Top 3</t>
  </si>
  <si>
    <t>, VOC_AI_M25_M27_BASE1 AS (</t>
  </si>
  <si>
    <t>SELECT DISTINCT b.RESPONSE_ID, b.QUESTION_TEXT, b.QUESTION_RESPONSE, b.SCOTT_DAVIS_DIRECT_REPORTS, a.CATEGORY, b.YR, b.MO</t>
  </si>
  <si>
    <t>FROM (SELECT RESPONSE_ID, QUESTION_TEXT, QUESTION_RESPONSE, SCOTT_DAVIS_DIRECT_REPORTS, UNIT_NAME, UNIT_SAP_NUMBER, YEAR(FULL_RECORDED_DATE) AS YR, MONTH(FULL_RECORDED_DATE) AS MO FROM CTE_AI WHERE SENTIMENT_LABEL = 'Negative') b</t>
  </si>
  <si>
    <t>LEFT JOIN FLIK_INTERMEDIATE.DATA_SCIENCE.FLIK_DATA_SCIENCE__FLIK_VOC_COMMENTS_CATEGORIES a</t>
  </si>
  <si>
    <t>AND a.QUESTION_TEXT = b.QUESTION_TEXT</t>
  </si>
  <si>
    <t>AND a.QUESTION_RESPONSE = b.QUESTION_RESPONSE</t>
  </si>
  <si>
    <t>ORDER BY b.RESPONSE_ID</t>
  </si>
  <si>
    <t>, VOC_AI_M25_M27_BASE2 AS (</t>
  </si>
  <si>
    <t>SELECT SCOTT_DAVIS_DIRECT_REPORTS, YR, MO, CATEGORY AS LABEL, COUNT(DISTINCT QUESTION_RESPONSE) AS STATISTIC, ROW_NUMBER() OVER (</t>
  </si>
  <si>
    <t xml:space="preserve">        PARTITION BY SCOTT_DAVIS_DIRECT_REPORTS, YR, MO </t>
  </si>
  <si>
    <t xml:space="preserve">        ORDER BY STATISTIC DESC ) AS RANK</t>
  </si>
  <si>
    <t>FROM VOC_AI_M25_M27_BASE1</t>
  </si>
  <si>
    <t>GROUP BY SCOTT_DAVIS_DIRECT_REPORTS, YR, MO, CATEGORY</t>
  </si>
  <si>
    <t>ORDER BY SCOTT_DAVIS_DIRECT_REPORTS, YR DESC, MO DESC, RANK</t>
  </si>
  <si>
    <t>, VOC_AI_M25_M27 AS (</t>
  </si>
  <si>
    <t>SELECT SCOTT_DAVIS_DIRECT_REPORTS, CASE WHEN RANK = 1 THEN 25</t>
  </si>
  <si>
    <t>WHEN RANK = 2 THEN 26</t>
  </si>
  <si>
    <t>WHEN RANK = 3 THEN 27</t>
  </si>
  <si>
    <t>END AS METRIC_ID, YR, MO, STATISTIC, LABEL</t>
  </si>
  <si>
    <t>FROM VOC_AI_M25_M27_BASE2</t>
  </si>
  <si>
    <t>WHERE RANK &lt;= 3</t>
  </si>
  <si>
    <t>AND SCOTT_DAVIS_DIRECT_REPORTS IS NOT NULL</t>
  </si>
  <si>
    <t>-- Count of Units with VOC Responses less than 10 and more than 10</t>
  </si>
  <si>
    <t>, VOC_M28_M29_BASE1 AS (</t>
  </si>
  <si>
    <t>SELECT b.HIERARCHY_SCOTT_DAVIS_DIRECT_REPORTS AS SCOTT_DAVIS_DIRECT_REPORTS, a.EXT_REF AS UNIT_SAP_NUMBER, YEAR(b.AUDIT_DATE) AS YR, MONTH(b.AUDIT_DATE) AS MO, COUNT(DISTINCT b.RESPONSE_ID) AS VOC_COUNT,</t>
  </si>
  <si>
    <t xml:space="preserve">CASE WHEN COUNT(DISTINCT RESPONSE_ID) &lt; 10 THEN 1 </t>
  </si>
  <si>
    <t>WHEN COUNT(DISTINCT RESPONSE_ID) &gt;= 10 THEN 0</t>
  </si>
  <si>
    <t>ELSE NULL END AS LESS_THAN_10_VOC_RESPONSES</t>
  </si>
  <si>
    <t>FROM BASE_VOC a</t>
  </si>
  <si>
    <t>LEFT JOIN FLIK_ANALYTICS.CURIOSITY.SURVEYS_COMBINED b</t>
  </si>
  <si>
    <t>ON a.EXT_REF = b.UNIT_SAP_NUMBER</t>
  </si>
  <si>
    <t>WHERE (b.UNIT_BUSINESS_PORTFOLIO &lt;&gt; 'Test' OR b.UNIT_BUSINESS_PORTFOLIO is null)  -- removes test B&amp;I account &amp; Insights test accounts</t>
  </si>
  <si>
    <t>AND b.DATATYPE = 'Responses' -- only responses</t>
  </si>
  <si>
    <t>AND b.SURVEY_NAME ILIKE '%voc%' -- only VOC surveys</t>
  </si>
  <si>
    <t>AND b.UNIT_SAP_NUMBER NOT IN ('1', '4440', '33940') -- removes test B&amp;I account &amp; Insights test accounts</t>
  </si>
  <si>
    <t>AND b.RESPONSE_VALID = 'Yes' -- only valid responses</t>
  </si>
  <si>
    <t>AND b.ISGOLDLISTACTIVE = TRUE -- only active units</t>
  </si>
  <si>
    <t>GROUP BY b.HIERARCHY_SCOTT_DAVIS_DIRECT_REPORTS, a.EXT_REF, YR, MO</t>
  </si>
  <si>
    <t>, VOC_M28_M29_BASE2 AS (</t>
  </si>
  <si>
    <t>SELECT SCOTT_DAVIS_DIRECT_REPORTS, YR, MO, LESS_THAN_10_VOC_RESPONSES, COUNT(*) AS STATISTIC</t>
  </si>
  <si>
    <t>FROM VOC_M28_M29_BASE1</t>
  </si>
  <si>
    <t>GROUP BY ROLLUP(SCOTT_DAVIS_DIRECT_REPORTS, YR, MO, LESS_THAN_10_VOC_RESPONSES)</t>
  </si>
  <si>
    <t>HAVING YR IS NOT NULL AND MO IS NOT NULL</t>
  </si>
  <si>
    <t>, VOC_M28 AS (</t>
  </si>
  <si>
    <t>SELECT SCOTT_DAVIS_DIRECT_REPORTS, 28 AS METRIC_ID, YR, MO, STATISTIC</t>
  </si>
  <si>
    <t>FROM VOC_M28_M29_BASE2</t>
  </si>
  <si>
    <t>WHERE LESS_THAN_10_VOC_RESPONSES = 1</t>
  </si>
  <si>
    <t>, VOC_M29 AS (</t>
  </si>
  <si>
    <t>SELECT a.SCOTT_DAVIS_DIRECT_REPORTS, 29 AS METRIC_ID, a.YR, a.MO,  ROUND((a.STATISTIC / b.STATISTIC), 2) AS STATISTIC</t>
  </si>
  <si>
    <t>FROM (SELECT * FROM VOC_M28_M29_BASE2 WHERE LESS_THAN_10_VOC_RESPONSES = 1) a</t>
  </si>
  <si>
    <t>INNER JOIN (SELECT * FROM VOC_M28_M29_BASE2 WHERE LESS_THAN_10_VOC_RESPONSES IS NULL) b</t>
  </si>
  <si>
    <t>ON a.SCOTT_DAVIS_DIRECT_REPORTS = b.SCOTT_DAVIS_DIRECT_REPORTS</t>
  </si>
  <si>
    <t>ORDER BY  a.YR DESC, a.MO DESC, a.SCOTT_DAVIS_DIRECT_REPORTS</t>
  </si>
  <si>
    <t>, CTE_VOC_UNION AS (</t>
  </si>
  <si>
    <t>FROM VOC_M17</t>
  </si>
  <si>
    <t>UNION ALL</t>
  </si>
  <si>
    <t>FROM VOC_AI_M18</t>
  </si>
  <si>
    <t>FROM VOC_AI_M19_M21</t>
  </si>
  <si>
    <t>FROM VOC_AI_M22_M24</t>
  </si>
  <si>
    <t>FROM VOC_M28</t>
  </si>
  <si>
    <t>FROM VOC_M29</t>
  </si>
  <si>
    <t>, CTE_VOC_UNION_WITH_LABELS AS (</t>
  </si>
  <si>
    <t>SELECT *, NULL as LABEL</t>
  </si>
  <si>
    <t>FROM CTE_VOC_UNION</t>
  </si>
  <si>
    <t>FROM VOC_AI_M25_M27</t>
  </si>
  <si>
    <t>, CTE_QA_UNION AS (</t>
  </si>
  <si>
    <t>FROM QA_M1</t>
  </si>
  <si>
    <t>FROM QA_M2</t>
  </si>
  <si>
    <t>FROM QA_M3</t>
  </si>
  <si>
    <t>FROM QA_M4_M5</t>
  </si>
  <si>
    <t>FROM QA_M6</t>
  </si>
  <si>
    <t>FROM QA_M7</t>
  </si>
  <si>
    <t>FROM QA_M8</t>
  </si>
  <si>
    <t>FROM QA_M9</t>
  </si>
  <si>
    <t>FROM QA_M10_M11_M12</t>
  </si>
  <si>
    <t>FROM QA_M13_M14_M15</t>
  </si>
  <si>
    <t>FROM QA_M16</t>
  </si>
  <si>
    <t>, CTE_UNION_ALL AS (</t>
  </si>
  <si>
    <t>FROM CTE_QA_UNION</t>
  </si>
  <si>
    <t>FROM CTE_VOC_UNION_WITH_LABELS</t>
  </si>
  <si>
    <t>, numbers AS (</t>
  </si>
  <si>
    <t>SELECT 1 as METRIC_ID</t>
  </si>
  <si>
    <t>SELECT METRIC_ID + 1</t>
  </si>
  <si>
    <t>FROM numbers</t>
  </si>
  <si>
    <t>WHERE METRIC_ID &lt; 54</t>
  </si>
  <si>
    <t>, SDDR_REPORTS as (</t>
  </si>
  <si>
    <t xml:space="preserve">    select distinct SCOTT_DAVIS_DIRECT_REPORTS, YR, MO</t>
  </si>
  <si>
    <t xml:space="preserve">    from QA_M1</t>
  </si>
  <si>
    <t xml:space="preserve">    where scott_davis_direct_reports is not null</t>
  </si>
  <si>
    <t xml:space="preserve">    and scott_davis_direct_reports &lt;&gt; ''</t>
  </si>
  <si>
    <t>, SDDR_LIST as (</t>
  </si>
  <si>
    <t xml:space="preserve">    select *</t>
  </si>
  <si>
    <t xml:space="preserve">    from numbers</t>
  </si>
  <si>
    <t xml:space="preserve">    cross join SDDR_REPORTS</t>
  </si>
  <si>
    <t>, CTE_FINAL AS (</t>
  </si>
  <si>
    <t>SELECT x.*, coalesce(y.statistic, 0) as STATISTIC, coalesce(y.label, NULL) AS LABEL</t>
  </si>
  <si>
    <t>FROM SDDR_LIST x</t>
  </si>
  <si>
    <t>LEFT JOIN CTE_UNION_ALL y</t>
  </si>
  <si>
    <t xml:space="preserve">    ON x.METRIC_ID = y.METRIC_ID</t>
  </si>
  <si>
    <t xml:space="preserve">    AND x.scott_davis_direct_reports = y.scott_davis_direct_reports</t>
  </si>
  <si>
    <t xml:space="preserve">    AND x.yr = y.yr</t>
  </si>
  <si>
    <t xml:space="preserve">    AND x.mo = y.mo</t>
  </si>
  <si>
    <t>ORDER BY  x.YR DESC, x.MO DESC, x.SCOTT_DAVIS_DIRECT_REPORTS, x.METRIC_ID ASC</t>
  </si>
  <si>
    <t>FROM CTE_FINAL</t>
  </si>
  <si>
    <t>WHERE YR = 2024</t>
  </si>
  <si>
    <t>AND MO = 9</t>
  </si>
  <si>
    <t>;</t>
  </si>
  <si>
    <t>SQL Query for Monthly Infographic - Aggregated Data for All SDDRs</t>
  </si>
  <si>
    <t>**Each month, just update Month and Year in Rows 646 and 647</t>
  </si>
  <si>
    <t>ROUND((COUNT(CASE WHEN CATEGORY_SCORE &lt; 90 THEN 1 END) / COUNT(CATEGORY_SCORE)) * 100, 1) AS PERCENTAGE_BELOW_90 -- Percentage of audits below 90</t>
  </si>
  <si>
    <t>GROUP BY a.SCOTT_DAVIS_DIRECT_REPORTS, a.YR, a.MO</t>
  </si>
  <si>
    <t>, QA_M3_ALL AS (</t>
  </si>
  <si>
    <t>SELECT 3 AS METRIC_ID, YEAR(AUDIT_DATE) AS YR, MONTH(AUDIT_DATE) AS MO, ROUND(AVG(CATEGORY_SCORE),2) AS STATISTIC</t>
  </si>
  <si>
    <t>GROUP BY YR, MO</t>
  </si>
  <si>
    <t>ORDER BY YR DESC, MO DESC</t>
  </si>
  <si>
    <t>-- Percentage of Audits Below 90 Overall</t>
  </si>
  <si>
    <t>, QA_M5_ALL AS (</t>
  </si>
  <si>
    <t>SELECT 5 AS METRIC_ID, YEAR(AUDIT_DATE) AS YR, MONTH(AUDIT_DATE) AS MO,</t>
  </si>
  <si>
    <t>, QA_M7_ALL AS (</t>
  </si>
  <si>
    <t>SELECT 7 AS METRIC_ID, YEAR(TICKET_CREATION_DATE_EST) AS YR, MONTH(TICKET_CREATION_DATE_EST) AS MO, ROUND(AVG(TICKET_DAYS_TO_CLOSE), 2) AS STATISTIC</t>
  </si>
  <si>
    <t>FROM CTE_BASE_3</t>
  </si>
  <si>
    <t>WHERE TICKET_STATUS = 'Closed' -- Only closed tickets</t>
  </si>
  <si>
    <t>, QA_M9_ALL AS (</t>
  </si>
  <si>
    <t>SELECT 9 AS METRIC_ID, a.YR, a.MO, CASE WHEN ROUND(AVG(b.TICKET_DAYS_TO_CLOSE), 2) IS NULL THEN 0 ELSE ROUND(AVG(b.TICKET_DAYS_TO_CLOSE), 2) END AS STATISTIC</t>
  </si>
  <si>
    <t>AND  a.UNIT_SAP_NUMBER = b.UNIT_SAP_NUMBER</t>
  </si>
  <si>
    <t>GROUP BY a.YR, a.MO</t>
  </si>
  <si>
    <t>ORDER BY a.YR DESC, a.MO DESC</t>
  </si>
  <si>
    <t>, VOC_M22_M24_ALL AS (</t>
  </si>
  <si>
    <t>SELECT CASE WHEN SENTIMENT_LABEL = 'Negative' THEN 23</t>
  </si>
  <si>
    <t>(COUNT(QUESTION_RESPONSE)) / SUM(COUNT( QUESTION_RESPONSE)) OVER (PARTITION BY YR, MO) AS STATISTIC</t>
  </si>
  <si>
    <t>GROUP BY YR, MO, SENTIMENT_LABEL</t>
  </si>
  <si>
    <t>ORDER BY YR DESC, MO DESC, METRIC_ID ASC</t>
  </si>
  <si>
    <t>-- VOC Top Categories (3) Driving Negative Comments Overall</t>
  </si>
  <si>
    <t>, VOC_AI_M25_M27_BASE2_ALL AS (</t>
  </si>
  <si>
    <t>SELECT YR, MO, CATEGORY AS LABEL, COUNT(DISTINCT QUESTION_RESPONSE) AS STATISTIC, ROW_NUMBER() OVER (</t>
  </si>
  <si>
    <t xml:space="preserve">        PARTITION BY YR, MO </t>
  </si>
  <si>
    <t>GROUP BY YR, MO, CATEGORY</t>
  </si>
  <si>
    <t>ORDER BY YR DESC, MO DESC, RANK</t>
  </si>
  <si>
    <t>, VOC_AI_M25_M27_ALL AS (</t>
  </si>
  <si>
    <t>SELECT CASE WHEN RANK = 1 THEN 25</t>
  </si>
  <si>
    <t>FROM VOC_AI_M25_M27_BASE2_ALL</t>
  </si>
  <si>
    <t>-- VOC Units with VOC Responses less than 10 and more than 10 Overall</t>
  </si>
  <si>
    <t>, VOC_M29_BASE2_ALL AS (</t>
  </si>
  <si>
    <t>SELECT YR, MO, LESS_THAN_10_VOC_RESPONSES, COUNT(*) AS STATISTIC</t>
  </si>
  <si>
    <t>GROUP BY ROLLUP(YR, MO, LESS_THAN_10_VOC_RESPONSES)</t>
  </si>
  <si>
    <t>, VOC_M29_ALL AS (</t>
  </si>
  <si>
    <t>SELECT 29 AS METRIC_ID, a.YR, a.MO,  ROUND((a.STATISTIC / b.STATISTIC), 2) AS STATISTIC</t>
  </si>
  <si>
    <t>FROM (SELECT * FROM VOC_M29_BASE2_ALL WHERE LESS_THAN_10_VOC_RESPONSES = 1) a</t>
  </si>
  <si>
    <t>INNER JOIN (SELECT * FROM VOC_M29_BASE2_ALL WHERE LESS_THAN_10_VOC_RESPONSES IS NULL) b</t>
  </si>
  <si>
    <t>ON a.YR = b.YR</t>
  </si>
  <si>
    <t>ORDER BY  a.YR DESC, a.MO DESC</t>
  </si>
  <si>
    <t>, MONTH_YEAR as (</t>
  </si>
  <si>
    <t xml:space="preserve">    select distinct YR, MO</t>
  </si>
  <si>
    <t xml:space="preserve">    ORDER BY YR DESC, MO DESC</t>
  </si>
  <si>
    <t>, OVERALL_LIST as (</t>
  </si>
  <si>
    <t xml:space="preserve">    cross join MONTH_YEAR</t>
  </si>
  <si>
    <t>FROM OVERALL_LIST x</t>
  </si>
  <si>
    <t>ORDER BY  x.YR DESC, x.MO DESC, x.METRIC_ID ASC</t>
  </si>
  <si>
    <t>, CTE_SUMS AS (</t>
  </si>
  <si>
    <t>SELECT METRIC_ID, YR, MO, SUM(STATISTIC) AS STATISTIC</t>
  </si>
  <si>
    <t>WHERE METRIC_ID IN (1, 2, 4, 6, 8, 10, 11, 12, 13, 14, 15, 16, 17, 18, 19, 20, 21, 28)</t>
  </si>
  <si>
    <t>GROUP BY METRIC_ID, YR, MO</t>
  </si>
  <si>
    <t>ORDER BY METRIC_ID ASC, YR DESC, MO DESC</t>
  </si>
  <si>
    <t>, CTE_ALL_NON_LABELS AS (</t>
  </si>
  <si>
    <t>FROM CTE_SUMS</t>
  </si>
  <si>
    <t>FROM QA_M3_ALL</t>
  </si>
  <si>
    <t>FROM QA_M5_ALL</t>
  </si>
  <si>
    <t>FROM QA_M7_ALL</t>
  </si>
  <si>
    <t>FROM QA_M9_ALL</t>
  </si>
  <si>
    <t>FROM VOC_M22_M24_ALL</t>
  </si>
  <si>
    <t>FROM VOC_M29_ALL</t>
  </si>
  <si>
    <t>, CTE_COMBINED AS (</t>
  </si>
  <si>
    <t>FROM CTE_ALL_NON_LABELS</t>
  </si>
  <si>
    <t>FROM VOC_AI_M25_M27_ALL</t>
  </si>
  <si>
    <t>, CTE_FINAL_ALL AS (</t>
  </si>
  <si>
    <t>SELECT x.*, coalesce(y.STATISTIC, 0) as STATISTIC, coalesce(y.LABEL, NULL) AS LABEL</t>
  </si>
  <si>
    <t>LEFT JOIN CTE_COMBINED y</t>
  </si>
  <si>
    <t>FROM CTE_FINAL_ALL</t>
  </si>
  <si>
    <t>SQL Query for Monthly Infographic - QA Hyperlink</t>
  </si>
  <si>
    <t>**Each month, just update Month and Year in Row 77</t>
  </si>
  <si>
    <t>-- Last Edits: 9/20/2024</t>
  </si>
  <si>
    <t>SELECT RESPONSE_ID, UNIT_NAME, UNIT_SAP_NUMBER, UNIT_INDUSTRY, HIERARCHY_SCOTT_DAVIS_DIRECT_REPORTS AS SCOTT_DAVIS_DIRECT_REPORTS, YEAR(AUDIT_DATE) AS YR, MONTH(AUDIT_DATE) AS MO, DAY(AUDIT_DATE) AS DAY, ROUND(AVG(CATEGORY_SCORE),2) AS QA_SCORE,</t>
  </si>
  <si>
    <t xml:space="preserve"> CASE WHEN QA_SCORE &lt; 90 THEN 'FAIL'</t>
  </si>
  <si>
    <t xml:space="preserve"> ELSE 'PASS'</t>
  </si>
  <si>
    <t xml:space="preserve"> END AS "PASS/FAIL"</t>
  </si>
  <si>
    <t>AND YR = 2024 AND MO = 9 -- Only September 2024</t>
  </si>
  <si>
    <t>GROUP BY RESPONSE_ID, UNIT_NAME, UNIT_SAP_NUMBER, UNIT_INDUSTRY, SCOTT_DAVIS_DIRECT_REPORTS, YR, MO, DAY</t>
  </si>
  <si>
    <t>HAVING QA_SCORE &lt; 90 -- Only failed audits</t>
  </si>
  <si>
    <t>WITH QA_BASE_FAIL_1 AS (</t>
  </si>
  <si>
    <t xml:space="preserve">    AND YR = 2024 AND MO = 9 -- Only September 2024</t>
  </si>
  <si>
    <t>SELECT HIERARCHY_SCOTT_DAVIS_DIRECT_REPORTS AS SCOTT_DAVIS_DIRECT_REPORTS, UNIT_SAP_NUMBER, YEAR(TICKET_CREATION_DATE_EST) AS YR, MONTH(TICKET_CREATION_DATE_EST) AS MO, TICKET_ID, TICKET_DETAILS, TICKET_SOLUTION, TICKET_DAYS_TO_CLOSE</t>
  </si>
  <si>
    <t>FROM QA_BASE_TICKETS</t>
  </si>
  <si>
    <t>WHERE UNIT_SAP_NUMBER IN (SELECT UNIT_SAP_NUMBER FROM QA_BASE_FAIL_1 WHERE PASS_FAIL = 'FAIL')</t>
  </si>
  <si>
    <t>SELECT HIERARCHY_SCOTT_DAVIS_DIRECT_REPORTS AS SCOTT_DAVIS_DIRECT_REPORTS, UNIT_SAP_NUMBER, UNIT_NAME, YEAR(TICKET_CREATION_DATE_EST) AS YR, MONTH(TICKET_CREATION_DATE_EST) AS MO, DAY(TICKET_CREATION_DATE_EST) AS DAY,</t>
  </si>
  <si>
    <t>TICKET_ID, TICKET_DETAILS</t>
  </si>
  <si>
    <t>ORDER BY SCOTT_DAVIS_DIRECT_REPORTS, YR DESC, MO DESC, DAY DESC</t>
  </si>
  <si>
    <t>Below Table is Linked to Each SDDR Infographic Template</t>
  </si>
  <si>
    <t>***If you shift the table, or add or remove a row from this table, the #s will shift in the infographics.***</t>
  </si>
  <si>
    <t>***If this occurs, all #s need to be updated and/or double-checked to ensure references are still set-up correctly***</t>
  </si>
  <si>
    <t>METRIC_DESCRIPTION</t>
  </si>
  <si>
    <t>METRIC_ID</t>
  </si>
  <si>
    <t>SDDR</t>
  </si>
  <si>
    <t>YR</t>
  </si>
  <si>
    <t>MO</t>
  </si>
  <si>
    <t>STATISTIC</t>
  </si>
  <si>
    <t>LABEL</t>
  </si>
  <si>
    <t>Month Name</t>
  </si>
  <si>
    <t>QA Audit Count</t>
  </si>
  <si>
    <t>Adam Salem</t>
  </si>
  <si>
    <t>September</t>
  </si>
  <si>
    <t>QA Unit Participation Count</t>
  </si>
  <si>
    <t>QA Avg Audit Score</t>
  </si>
  <si>
    <t>QA Count of Failed Audits</t>
  </si>
  <si>
    <t>QA Percentage of Failed Audits</t>
  </si>
  <si>
    <t>QA Count of Closed Tickets</t>
  </si>
  <si>
    <t>QA Avg Days to Close Tickets</t>
  </si>
  <si>
    <t>QA Count of Closed Tickets From failed Units</t>
  </si>
  <si>
    <t>QA Avg Days to Close Tickets From failed units</t>
  </si>
  <si>
    <t>QA Count of Minor Missed Questions from failed units</t>
  </si>
  <si>
    <t>QA Count of Major Missed Questions from failed units</t>
  </si>
  <si>
    <t>QA Count of Critical Missed Questions from failed units</t>
  </si>
  <si>
    <t>QA Count of Minor Missed Questions</t>
  </si>
  <si>
    <t>QA Count of Major Missed Questions</t>
  </si>
  <si>
    <t>QA Count of Critical Missed Questions</t>
  </si>
  <si>
    <t>QA Count of Open Tickets</t>
  </si>
  <si>
    <t>VOC Response Count</t>
  </si>
  <si>
    <t>VOC Count of Positive Comments</t>
  </si>
  <si>
    <t>VOC Count of Negative Comments</t>
  </si>
  <si>
    <t>VOC Count of Neutral Comments</t>
  </si>
  <si>
    <t>VOC Percentage of Positive Comments</t>
  </si>
  <si>
    <t>VOC Percentage of Negative Comments</t>
  </si>
  <si>
    <t>VOC Percentage of Neutral Comments</t>
  </si>
  <si>
    <t>Top Categories Driving Negaive Comments - Rank 1</t>
  </si>
  <si>
    <t>Customer Service</t>
  </si>
  <si>
    <t>Top Categories Driving Negaive Comments - Rank 2</t>
  </si>
  <si>
    <t>Food</t>
  </si>
  <si>
    <t>Top Categories Driving Negaive Comments - Rank 3</t>
  </si>
  <si>
    <t>Order Accuracy</t>
  </si>
  <si>
    <t>VOC Count of units with less than 10 Responses</t>
  </si>
  <si>
    <t>VOC Percentage of units with less than 10 Responses</t>
  </si>
  <si>
    <t xml:space="preserve">AI Count of Identified Comments with Foreign Objects </t>
  </si>
  <si>
    <t>AI/VOC Avg CSAT of Accounts With Foreign Objects In Food</t>
  </si>
  <si>
    <t>Origami + Red Phone Count of Foreign objects in Food</t>
  </si>
  <si>
    <t>Origami Count of Foreign objects in Food</t>
  </si>
  <si>
    <t>Origami</t>
  </si>
  <si>
    <t>Red Phone Count of Foreign objects in Food</t>
  </si>
  <si>
    <t>Red Phone</t>
  </si>
  <si>
    <t>Origami Top Types of Foreign objects in Food - Rank 1</t>
  </si>
  <si>
    <t>Plastic</t>
  </si>
  <si>
    <t>Origami Top Types of Foreign objects in Food - Rank 2</t>
  </si>
  <si>
    <t>Metal</t>
  </si>
  <si>
    <t>Origami Top Types of Foreign objects in Food - Rank 3</t>
  </si>
  <si>
    <t>Origami Top Types of Foreign objects in Food - Rank 4</t>
  </si>
  <si>
    <t>Origami Top Types of Foreign objects in Food - Rank 5</t>
  </si>
  <si>
    <t>Red Phone Top Types of Foreign objects in Food - Rank 1</t>
  </si>
  <si>
    <t>Red Phone Top Types of Foreign objects in Food - Rank 2</t>
  </si>
  <si>
    <t>Red Phone Top Types of Foreign objects in Food - Rank 3</t>
  </si>
  <si>
    <t>Red Phone Top Types of Foreign objects in Food - Rank 4</t>
  </si>
  <si>
    <t>Red Phone Top Types of Foreign objects in Food - Rank 5</t>
  </si>
  <si>
    <t>Origami Top Locations of Foreign objects in Food - Rank 1</t>
  </si>
  <si>
    <t>Unknown</t>
  </si>
  <si>
    <t>Origami Top Locations of Foreign objects in Food - Rank 2</t>
  </si>
  <si>
    <t>Pizza</t>
  </si>
  <si>
    <t>Origami Top Locations of Foreign objects in Food - Rank 3</t>
  </si>
  <si>
    <t>Origami Top Locations of Foreign objects in Food - Rank 4</t>
  </si>
  <si>
    <t>Origami Top Locations of Foreign objects in Food - Rank 5</t>
  </si>
  <si>
    <t>Red Phone Top Locations of Foreign objects in Food - Rank 1</t>
  </si>
  <si>
    <t>Red Phone Top Locations of Foreign objects in Food - Rank 2</t>
  </si>
  <si>
    <t>Red Phone Top Locations of Foreign objects in Food - Rank 3</t>
  </si>
  <si>
    <t>Red Phone Top Locations of Foreign objects in Food - Rank 4</t>
  </si>
  <si>
    <t>Red Phone Top Locations of Foreign objects in Food - Rank 5</t>
  </si>
  <si>
    <t>Brian Donohue</t>
  </si>
  <si>
    <t>Insect</t>
  </si>
  <si>
    <t>Hair</t>
  </si>
  <si>
    <t>Glass</t>
  </si>
  <si>
    <t>Neil Gardner</t>
  </si>
  <si>
    <t>Facilities</t>
  </si>
  <si>
    <t>Not Using Dining Services</t>
  </si>
  <si>
    <t>Salad Bar</t>
  </si>
  <si>
    <t>Soup</t>
  </si>
  <si>
    <t>Meat</t>
  </si>
  <si>
    <t>Pasta</t>
  </si>
  <si>
    <t>Sandwich</t>
  </si>
  <si>
    <t>Peter Soguero</t>
  </si>
  <si>
    <t>Rick Russo</t>
  </si>
  <si>
    <t>Sari Feltman</t>
  </si>
  <si>
    <t>Location Where Foreign Object was Found</t>
  </si>
  <si>
    <t>Foreign Object</t>
  </si>
  <si>
    <t>Grand Total</t>
  </si>
  <si>
    <t>Grab-n-Go</t>
  </si>
  <si>
    <t>Buffet</t>
  </si>
  <si>
    <t>TOTAL</t>
  </si>
  <si>
    <t>Burger</t>
  </si>
  <si>
    <t>Bug</t>
  </si>
  <si>
    <t>Bone</t>
  </si>
  <si>
    <t>Beverage</t>
  </si>
  <si>
    <t>Vegetable</t>
  </si>
  <si>
    <t>Rubber</t>
  </si>
  <si>
    <t>Catering</t>
  </si>
  <si>
    <t>Seafood</t>
  </si>
  <si>
    <t>Paper</t>
  </si>
  <si>
    <t>Smoothie</t>
  </si>
  <si>
    <r>
      <rPr>
        <b/>
        <sz val="8"/>
        <color rgb="FFFFFFFF"/>
        <rFont val="Century Gothic"/>
      </rPr>
      <t xml:space="preserve">Avg Ticket Resolution Time </t>
    </r>
    <r>
      <rPr>
        <b/>
        <i/>
        <sz val="8"/>
        <color rgb="FFFFFFFF"/>
        <rFont val="Century Gothic"/>
      </rPr>
      <t>(Days)</t>
    </r>
  </si>
  <si>
    <t>TOTAL top 5</t>
  </si>
  <si>
    <t>Below Table is Linked to Aggregated SDDR Infographic Template</t>
  </si>
  <si>
    <t>All Scott Davis Direct Reports</t>
  </si>
  <si>
    <t>Go to 'File', then 'Print'</t>
  </si>
  <si>
    <t>Ensure settings match below then hit 'Print'</t>
  </si>
  <si>
    <t xml:space="preserve">*Custom margins: All set to zero </t>
  </si>
  <si>
    <t>You will be prompted to save file somewhere</t>
  </si>
  <si>
    <t>*Save to correct monthly folder in this analytics teams folder &gt;</t>
  </si>
  <si>
    <t>Published Reports</t>
  </si>
  <si>
    <t>Result should look like this</t>
  </si>
  <si>
    <t>Portion of Infographic</t>
  </si>
  <si>
    <t>Hyperlink</t>
  </si>
  <si>
    <t>VOC</t>
  </si>
  <si>
    <t>QA</t>
  </si>
  <si>
    <t>RedPhone/Origami</t>
  </si>
  <si>
    <t>VOC/AI</t>
  </si>
  <si>
    <t>SCOTT_DAVIS_DIRECT_REPORTS</t>
  </si>
  <si>
    <t>Select all cells of report we want to show on final report (currently all columns from A-N and all rows 1-58)</t>
  </si>
  <si>
    <t>Go to 'File', then 'Save As', Select PDF</t>
  </si>
  <si>
    <t xml:space="preserve">Hit More Options &gt; then Options &gt; then ensure Publish what is 'Selection' &gt; Hit 'Ok' </t>
  </si>
  <si>
    <t xml:space="preserve">Hit 'Save' and ensure PDF is saved in this analytics team folder &gt; </t>
  </si>
  <si>
    <t>For Individual SDDR main table:</t>
  </si>
  <si>
    <t>add column with long version of month name to reference. i.e. 'September</t>
  </si>
  <si>
    <t>add column to designate whether qa, voc or red phone/origami</t>
  </si>
  <si>
    <t>add column to note metric description</t>
  </si>
  <si>
    <t>For All SDDR table:</t>
  </si>
  <si>
    <t>add column saying 'All Scott Davis Direct Reports' to Reference</t>
  </si>
  <si>
    <t>For code:</t>
  </si>
  <si>
    <t>add code to ensure pos, neutral, neg %s add to 100%</t>
  </si>
  <si>
    <t>add all needed origami &amp; red phone data labels</t>
  </si>
  <si>
    <t>update code to handle duplicate values (issue example below)</t>
  </si>
  <si>
    <t>Ordering Experience</t>
  </si>
  <si>
    <t>Pricing</t>
  </si>
  <si>
    <t>E15 Monthly Infographic (9/2024)​</t>
  </si>
  <si>
    <t>22 Health &amp; Sanitation audits completed</t>
  </si>
  <si>
    <t>HEALTH &amp; SANITATION​</t>
  </si>
  <si>
    <t>AI GENERATED VOICE OF CUSTOMER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</si>
</sst>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######"/>
  </numFmts>
  <fonts count="56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6"/>
      <color rgb="FFFF0000"/>
      <name val="Aptos Narrow"/>
      <family val="2"/>
      <scheme val="minor"/>
    </font>
    <font>
      <b/>
      <u/>
      <sz val="14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theme="1"/>
      <name val="Century Gothic"/>
      <family val="2"/>
    </font>
    <font>
      <sz val="14"/>
      <color rgb="FF000000"/>
      <name val="Century Gothic"/>
      <family val="2"/>
    </font>
    <font>
      <b/>
      <sz val="12"/>
      <color theme="0"/>
      <name val="Century Gothic"/>
      <family val="2"/>
    </font>
    <font>
      <sz val="8"/>
      <color theme="0"/>
      <name val="Century Gothic"/>
      <family val="2"/>
    </font>
    <font>
      <b/>
      <sz val="11"/>
      <color theme="1"/>
      <name val="Century Gothic"/>
      <family val="2"/>
    </font>
    <font>
      <b/>
      <u val="double"/>
      <sz val="12"/>
      <color theme="7" tint="0.79998168889431442"/>
      <name val="Century Gothic"/>
      <family val="2"/>
    </font>
    <font>
      <b/>
      <sz val="11"/>
      <color theme="0"/>
      <name val="Century Gothic"/>
      <family val="2"/>
    </font>
    <font>
      <b/>
      <sz val="10"/>
      <color theme="0"/>
      <name val="Century Gothic"/>
      <family val="2"/>
    </font>
    <font>
      <b/>
      <sz val="18"/>
      <color theme="0"/>
      <name val="Century Gothic"/>
      <family val="2"/>
    </font>
    <font>
      <b/>
      <sz val="20"/>
      <color rgb="FF0A0966"/>
      <name val="Century Gothic"/>
      <family val="2"/>
    </font>
    <font>
      <sz val="20"/>
      <color rgb="FF0A0966"/>
      <name val="Century Gothic"/>
      <family val="2"/>
    </font>
    <font>
      <b/>
      <sz val="8"/>
      <color theme="0"/>
      <name val="Century Gothic"/>
      <family val="2"/>
    </font>
    <font>
      <b/>
      <sz val="8.5"/>
      <color rgb="FF0A0966"/>
      <name val="Century Gothic"/>
      <family val="2"/>
    </font>
    <font>
      <i/>
      <sz val="8"/>
      <color theme="0"/>
      <name val="Century Gothic"/>
      <family val="2"/>
    </font>
    <font>
      <b/>
      <sz val="14"/>
      <color rgb="FF000000"/>
      <name val="Century Gothic"/>
      <family val="2"/>
    </font>
    <font>
      <i/>
      <sz val="14"/>
      <color rgb="FF000000"/>
      <name val="Century Gothic"/>
      <family val="2"/>
    </font>
    <font>
      <b/>
      <sz val="9"/>
      <color rgb="FF0A0966"/>
      <name val="Century Gothic"/>
      <family val="2"/>
    </font>
    <font>
      <b/>
      <i/>
      <sz val="8"/>
      <color theme="0"/>
      <name val="Century Gothic"/>
      <family val="2"/>
    </font>
    <font>
      <b/>
      <sz val="20"/>
      <color theme="0"/>
      <name val="Century Gothic"/>
      <family val="2"/>
    </font>
    <font>
      <b/>
      <u val="double"/>
      <sz val="11"/>
      <color theme="7" tint="0.79998168889431442"/>
      <name val="Century Gothic"/>
      <family val="2"/>
    </font>
    <font>
      <b/>
      <sz val="9"/>
      <color theme="0"/>
      <name val="Century Gothic"/>
      <family val="2"/>
    </font>
    <font>
      <b/>
      <sz val="10"/>
      <color rgb="FF0A0966"/>
      <name val="Century Gothic"/>
      <family val="2"/>
    </font>
    <font>
      <sz val="11"/>
      <color theme="0"/>
      <name val="Century Gothic"/>
      <family val="2"/>
    </font>
    <font>
      <i/>
      <sz val="8"/>
      <color rgb="FF0A0966"/>
      <name val="Century Gothic"/>
      <family val="2"/>
    </font>
    <font>
      <i/>
      <sz val="6"/>
      <color rgb="FF0A0966"/>
      <name val="Century Gothic"/>
      <family val="2"/>
    </font>
    <font>
      <b/>
      <sz val="7"/>
      <color rgb="FF0A0966"/>
      <name val="Century Gothic"/>
      <family val="2"/>
    </font>
    <font>
      <b/>
      <sz val="18"/>
      <color rgb="FF0A0966"/>
      <name val="Century Gothic"/>
      <family val="2"/>
    </font>
    <font>
      <b/>
      <sz val="8"/>
      <color rgb="FF0A0966"/>
      <name val="Century Gothic"/>
      <family val="2"/>
    </font>
    <font>
      <b/>
      <sz val="6"/>
      <color rgb="FF0A0966"/>
      <name val="Century Gothic"/>
      <family val="2"/>
    </font>
    <font>
      <b/>
      <sz val="10.5"/>
      <color rgb="FF0A0966"/>
      <name val="Century Gothic"/>
      <family val="2"/>
    </font>
    <font>
      <b/>
      <sz val="11"/>
      <color theme="0"/>
      <name val="Aptos Narrow"/>
      <family val="2"/>
      <scheme val="minor"/>
    </font>
    <font>
      <b/>
      <i/>
      <sz val="11"/>
      <color rgb="FFFF0000"/>
      <name val="Aptos Narrow"/>
      <family val="2"/>
      <scheme val="minor"/>
    </font>
    <font>
      <b/>
      <i/>
      <sz val="14"/>
      <color rgb="FFFF0000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sz val="22"/>
      <color rgb="FF000000"/>
      <name val="Century Gothic"/>
      <family val="2"/>
    </font>
    <font>
      <b/>
      <u/>
      <sz val="16"/>
      <color theme="1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name val="Calibri"/>
      <family val="2"/>
    </font>
    <font>
      <b/>
      <u/>
      <sz val="20"/>
      <color theme="0"/>
      <name val="Aptos Narrow"/>
      <family val="2"/>
      <scheme val="minor"/>
    </font>
    <font>
      <sz val="11"/>
      <name val="Aptos Narrow"/>
      <family val="2"/>
      <scheme val="minor"/>
    </font>
    <font>
      <i/>
      <sz val="11"/>
      <color rgb="FFFF0000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5700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.5"/>
      <color theme="0"/>
      <name val="Century Gothic"/>
      <family val="2"/>
    </font>
    <font>
      <b/>
      <sz val="8"/>
      <color rgb="FFFFFFFF"/>
      <name val="Century Gothic"/>
    </font>
    <font>
      <b/>
      <i/>
      <sz val="8"/>
      <color rgb="FFFFFFFF"/>
      <name val="Century Gothic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2D4F0"/>
        <bgColor indexed="64"/>
      </patternFill>
    </fill>
    <fill>
      <patternFill patternType="solid">
        <fgColor rgb="FF0A096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49" fillId="11" borderId="0" applyNumberFormat="0" applyBorder="0" applyAlignment="0" applyProtection="0"/>
    <xf numFmtId="0" fontId="50" fillId="12" borderId="0" applyNumberFormat="0" applyBorder="0" applyAlignment="0" applyProtection="0"/>
    <xf numFmtId="0" fontId="51" fillId="0" borderId="2" applyNumberFormat="0" applyFill="0" applyAlignment="0" applyProtection="0"/>
  </cellStyleXfs>
  <cellXfs count="112">
    <xf numFmtId="0" fontId="0" fillId="0" borderId="0" xfId="0"/>
    <xf numFmtId="0" fontId="0" fillId="2" borderId="0" xfId="0" applyFill="1"/>
    <xf numFmtId="0" fontId="2" fillId="0" borderId="0" xfId="0" applyFont="1"/>
    <xf numFmtId="0" fontId="3" fillId="0" borderId="0" xfId="0" applyFont="1"/>
    <xf numFmtId="0" fontId="1" fillId="0" borderId="0" xfId="1" applyFill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6" fillId="0" borderId="0" xfId="0" applyFont="1"/>
    <xf numFmtId="0" fontId="0" fillId="3" borderId="0" xfId="0" applyFill="1"/>
    <xf numFmtId="0" fontId="8" fillId="2" borderId="0" xfId="0" applyFont="1" applyFill="1"/>
    <xf numFmtId="0" fontId="8" fillId="4" borderId="0" xfId="0" applyFont="1" applyFill="1"/>
    <xf numFmtId="0" fontId="10" fillId="5" borderId="0" xfId="0" applyFont="1" applyFill="1"/>
    <xf numFmtId="0" fontId="9" fillId="5" borderId="0" xfId="0" applyFont="1" applyFill="1"/>
    <xf numFmtId="0" fontId="9" fillId="4" borderId="0" xfId="0" applyFont="1" applyFill="1"/>
    <xf numFmtId="0" fontId="12" fillId="4" borderId="0" xfId="0" applyFont="1" applyFill="1"/>
    <xf numFmtId="0" fontId="9" fillId="2" borderId="0" xfId="0" applyFont="1" applyFill="1"/>
    <xf numFmtId="0" fontId="15" fillId="5" borderId="0" xfId="0" applyFont="1" applyFill="1" applyAlignment="1">
      <alignment vertical="center" wrapText="1"/>
    </xf>
    <xf numFmtId="0" fontId="11" fillId="5" borderId="0" xfId="0" applyFont="1" applyFill="1" applyAlignment="1">
      <alignment horizontal="center" vertical="center"/>
    </xf>
    <xf numFmtId="0" fontId="19" fillId="5" borderId="0" xfId="0" applyFont="1" applyFill="1"/>
    <xf numFmtId="0" fontId="21" fillId="5" borderId="0" xfId="0" applyFont="1" applyFill="1" applyAlignment="1">
      <alignment horizontal="center" vertical="top"/>
    </xf>
    <xf numFmtId="0" fontId="22" fillId="4" borderId="0" xfId="0" applyFont="1" applyFill="1" applyAlignment="1">
      <alignment vertical="center"/>
    </xf>
    <xf numFmtId="0" fontId="23" fillId="5" borderId="0" xfId="0" applyFont="1" applyFill="1"/>
    <xf numFmtId="0" fontId="11" fillId="5" borderId="0" xfId="0" applyFont="1" applyFill="1" applyAlignment="1">
      <alignment horizontal="center" vertical="center" wrapText="1"/>
    </xf>
    <xf numFmtId="0" fontId="28" fillId="5" borderId="0" xfId="0" applyFont="1" applyFill="1" applyAlignment="1">
      <alignment horizontal="left"/>
    </xf>
    <xf numFmtId="2" fontId="15" fillId="6" borderId="0" xfId="0" applyNumberFormat="1" applyFont="1" applyFill="1" applyAlignment="1">
      <alignment horizontal="center"/>
    </xf>
    <xf numFmtId="0" fontId="11" fillId="6" borderId="0" xfId="0" applyFont="1" applyFill="1"/>
    <xf numFmtId="0" fontId="15" fillId="6" borderId="0" xfId="0" applyFont="1" applyFill="1" applyAlignment="1">
      <alignment horizontal="center"/>
    </xf>
    <xf numFmtId="0" fontId="30" fillId="2" borderId="0" xfId="0" applyFont="1" applyFill="1" applyAlignment="1">
      <alignment horizontal="left"/>
    </xf>
    <xf numFmtId="0" fontId="31" fillId="2" borderId="0" xfId="0" applyFont="1" applyFill="1" applyAlignment="1">
      <alignment horizontal="right" vertical="center"/>
    </xf>
    <xf numFmtId="0" fontId="31" fillId="2" borderId="0" xfId="0" applyFont="1" applyFill="1" applyAlignment="1">
      <alignment horizontal="left" vertical="center"/>
    </xf>
    <xf numFmtId="0" fontId="32" fillId="2" borderId="0" xfId="0" applyFont="1" applyFill="1"/>
    <xf numFmtId="0" fontId="30" fillId="2" borderId="0" xfId="0" applyFont="1" applyFill="1"/>
    <xf numFmtId="0" fontId="0" fillId="0" borderId="0" xfId="0" applyAlignment="1">
      <alignment horizontal="center"/>
    </xf>
    <xf numFmtId="0" fontId="38" fillId="5" borderId="0" xfId="0" applyFont="1" applyFill="1" applyAlignment="1">
      <alignment horizontal="center"/>
    </xf>
    <xf numFmtId="0" fontId="2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0" fontId="40" fillId="0" borderId="0" xfId="0" applyFont="1"/>
    <xf numFmtId="2" fontId="0" fillId="0" borderId="0" xfId="0" applyNumberFormat="1"/>
    <xf numFmtId="164" fontId="0" fillId="0" borderId="0" xfId="0" applyNumberFormat="1"/>
    <xf numFmtId="0" fontId="38" fillId="8" borderId="0" xfId="0" applyFont="1" applyFill="1" applyAlignment="1">
      <alignment horizontal="center"/>
    </xf>
    <xf numFmtId="0" fontId="41" fillId="0" borderId="0" xfId="0" applyFont="1"/>
    <xf numFmtId="0" fontId="31" fillId="0" borderId="0" xfId="0" applyFont="1" applyAlignment="1">
      <alignment horizontal="right" vertical="center"/>
    </xf>
    <xf numFmtId="0" fontId="0" fillId="7" borderId="0" xfId="0" applyFill="1"/>
    <xf numFmtId="0" fontId="43" fillId="0" borderId="0" xfId="1" applyFont="1"/>
    <xf numFmtId="0" fontId="2" fillId="7" borderId="0" xfId="0" applyFont="1" applyFill="1"/>
    <xf numFmtId="0" fontId="45" fillId="0" borderId="0" xfId="0" applyFont="1" applyAlignment="1">
      <alignment horizontal="left" vertical="center"/>
    </xf>
    <xf numFmtId="0" fontId="1" fillId="0" borderId="0" xfId="1" applyAlignment="1">
      <alignment horizontal="left" vertical="center"/>
    </xf>
    <xf numFmtId="0" fontId="44" fillId="0" borderId="0" xfId="0" applyFont="1"/>
    <xf numFmtId="0" fontId="44" fillId="0" borderId="0" xfId="0" applyFont="1" applyAlignment="1">
      <alignment horizontal="right"/>
    </xf>
    <xf numFmtId="0" fontId="7" fillId="0" borderId="0" xfId="0" applyFont="1"/>
    <xf numFmtId="0" fontId="47" fillId="0" borderId="0" xfId="0" applyFont="1" applyAlignment="1">
      <alignment horizontal="left" vertical="center"/>
    </xf>
    <xf numFmtId="0" fontId="1" fillId="0" borderId="0" xfId="1"/>
    <xf numFmtId="0" fontId="0" fillId="0" borderId="0" xfId="0" quotePrefix="1"/>
    <xf numFmtId="0" fontId="48" fillId="0" borderId="0" xfId="0" applyFont="1"/>
    <xf numFmtId="0" fontId="0" fillId="3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49" fillId="11" borderId="0" xfId="2"/>
    <xf numFmtId="0" fontId="49" fillId="11" borderId="0" xfId="2" applyAlignment="1">
      <alignment horizontal="left"/>
    </xf>
    <xf numFmtId="0" fontId="50" fillId="12" borderId="0" xfId="3" applyAlignment="1">
      <alignment horizontal="left"/>
    </xf>
    <xf numFmtId="0" fontId="51" fillId="0" borderId="2" xfId="4"/>
    <xf numFmtId="0" fontId="52" fillId="13" borderId="3" xfId="0" applyFont="1" applyFill="1" applyBorder="1"/>
    <xf numFmtId="0" fontId="52" fillId="13" borderId="0" xfId="0" applyFont="1" applyFill="1"/>
    <xf numFmtId="0" fontId="0" fillId="0" borderId="4" xfId="0" applyBorder="1"/>
    <xf numFmtId="0" fontId="0" fillId="0" borderId="4" xfId="0" applyBorder="1" applyAlignment="1">
      <alignment horizontal="left"/>
    </xf>
    <xf numFmtId="0" fontId="24" fillId="4" borderId="0" xfId="0" applyFont="1" applyFill="1" applyAlignment="1">
      <alignment vertical="center" wrapText="1"/>
    </xf>
    <xf numFmtId="0" fontId="24" fillId="2" borderId="0" xfId="0" applyFont="1" applyFill="1" applyAlignment="1">
      <alignment vertical="center" wrapText="1"/>
    </xf>
    <xf numFmtId="0" fontId="18" fillId="2" borderId="0" xfId="0" applyFont="1" applyFill="1" applyAlignment="1">
      <alignment vertical="center"/>
    </xf>
    <xf numFmtId="0" fontId="19" fillId="5" borderId="0" xfId="0" applyFont="1" applyFill="1" applyAlignment="1">
      <alignment vertical="center" wrapText="1"/>
    </xf>
    <xf numFmtId="0" fontId="19" fillId="5" borderId="0" xfId="0" applyFont="1" applyFill="1" applyAlignment="1">
      <alignment vertical="center"/>
    </xf>
    <xf numFmtId="0" fontId="21" fillId="5" borderId="0" xfId="0" applyFont="1" applyFill="1" applyAlignment="1">
      <alignment horizontal="center" vertical="center"/>
    </xf>
    <xf numFmtId="0" fontId="19" fillId="5" borderId="0" xfId="0" applyFont="1" applyFill="1" applyAlignment="1">
      <alignment vertical="top"/>
    </xf>
    <xf numFmtId="0" fontId="49" fillId="0" borderId="0" xfId="2" applyFill="1" applyAlignment="1">
      <alignment horizontal="left"/>
    </xf>
    <xf numFmtId="0" fontId="0" fillId="0" borderId="1" xfId="0" applyBorder="1" applyAlignment="1">
      <alignment horizontal="left"/>
    </xf>
    <xf numFmtId="3" fontId="0" fillId="0" borderId="0" xfId="0" applyNumberFormat="1"/>
    <xf numFmtId="165" fontId="0" fillId="0" borderId="0" xfId="0" applyNumberFormat="1"/>
    <xf numFmtId="0" fontId="9" fillId="5" borderId="0" xfId="0" applyFont="1" applyFill="1" applyAlignment="1">
      <alignment horizontal="center"/>
    </xf>
    <xf numFmtId="0" fontId="10" fillId="5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top" wrapText="1"/>
    </xf>
    <xf numFmtId="0" fontId="18" fillId="4" borderId="0" xfId="0" applyFont="1" applyFill="1" applyAlignment="1">
      <alignment horizontal="center" vertical="center"/>
    </xf>
    <xf numFmtId="0" fontId="19" fillId="5" borderId="0" xfId="0" applyFont="1" applyFill="1" applyAlignment="1">
      <alignment horizontal="center" vertical="center" wrapText="1"/>
    </xf>
    <xf numFmtId="0" fontId="20" fillId="4" borderId="0" xfId="0" applyFont="1" applyFill="1" applyAlignment="1">
      <alignment horizontal="center" wrapText="1"/>
    </xf>
    <xf numFmtId="0" fontId="17" fillId="4" borderId="0" xfId="0" applyFont="1" applyFill="1" applyAlignment="1">
      <alignment horizontal="center" vertical="center"/>
    </xf>
    <xf numFmtId="9" fontId="17" fillId="4" borderId="0" xfId="0" applyNumberFormat="1" applyFont="1" applyFill="1" applyAlignment="1">
      <alignment horizontal="center" vertical="center"/>
    </xf>
    <xf numFmtId="0" fontId="16" fillId="5" borderId="0" xfId="0" applyFont="1" applyFill="1" applyAlignment="1">
      <alignment horizontal="center"/>
    </xf>
    <xf numFmtId="0" fontId="24" fillId="4" borderId="0" xfId="0" applyFont="1" applyFill="1" applyAlignment="1">
      <alignment horizontal="center" vertical="center" wrapText="1"/>
    </xf>
    <xf numFmtId="0" fontId="24" fillId="4" borderId="0" xfId="0" applyFont="1" applyFill="1" applyAlignment="1">
      <alignment horizontal="center" wrapText="1"/>
    </xf>
    <xf numFmtId="0" fontId="27" fillId="5" borderId="0" xfId="0" applyFont="1" applyFill="1" applyAlignment="1">
      <alignment horizontal="center" vertical="center" wrapText="1"/>
    </xf>
    <xf numFmtId="0" fontId="14" fillId="5" borderId="0" xfId="0" applyFont="1" applyFill="1" applyAlignment="1">
      <alignment horizontal="center" vertical="center" wrapText="1"/>
    </xf>
    <xf numFmtId="1" fontId="17" fillId="4" borderId="0" xfId="0" applyNumberFormat="1" applyFont="1" applyFill="1" applyAlignment="1">
      <alignment horizontal="center" vertical="center"/>
    </xf>
    <xf numFmtId="0" fontId="34" fillId="2" borderId="0" xfId="0" applyFont="1" applyFill="1" applyAlignment="1">
      <alignment horizontal="center"/>
    </xf>
    <xf numFmtId="0" fontId="35" fillId="0" borderId="0" xfId="0" applyFont="1" applyAlignment="1">
      <alignment horizontal="center" vertical="center" wrapText="1" readingOrder="1"/>
    </xf>
    <xf numFmtId="0" fontId="36" fillId="0" borderId="0" xfId="0" applyFont="1" applyAlignment="1">
      <alignment horizontal="center" vertical="center" wrapText="1"/>
    </xf>
    <xf numFmtId="0" fontId="26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 wrapText="1"/>
    </xf>
    <xf numFmtId="0" fontId="17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wrapText="1"/>
    </xf>
    <xf numFmtId="0" fontId="31" fillId="2" borderId="0" xfId="0" applyFont="1" applyFill="1" applyAlignment="1">
      <alignment horizontal="left" vertical="center"/>
    </xf>
    <xf numFmtId="0" fontId="10" fillId="5" borderId="0" xfId="0" applyFont="1" applyFill="1" applyAlignment="1">
      <alignment horizontal="center" vertical="center"/>
    </xf>
    <xf numFmtId="0" fontId="37" fillId="0" borderId="0" xfId="0" applyFont="1" applyAlignment="1">
      <alignment horizontal="center" vertical="center" wrapText="1" readingOrder="1"/>
    </xf>
    <xf numFmtId="0" fontId="33" fillId="4" borderId="0" xfId="0" applyFont="1" applyFill="1" applyAlignment="1">
      <alignment horizontal="center"/>
    </xf>
    <xf numFmtId="0" fontId="46" fillId="5" borderId="0" xfId="0" applyFont="1" applyFill="1" applyAlignment="1">
      <alignment horizontal="left"/>
    </xf>
    <xf numFmtId="0" fontId="6" fillId="9" borderId="0" xfId="0" applyFont="1" applyFill="1" applyAlignment="1">
      <alignment horizontal="left"/>
    </xf>
    <xf numFmtId="0" fontId="13" fillId="5" borderId="0" xfId="0" applyFont="1" applyFill="1" applyAlignment="1">
      <alignment horizontal="center" vertical="center" wrapText="1"/>
    </xf>
    <xf numFmtId="0" fontId="53" fillId="5" borderId="0" xfId="0" applyFont="1" applyFill="1" applyAlignment="1">
      <alignment horizontal="left" vertical="center"/>
    </xf>
    <xf numFmtId="0" fontId="42" fillId="5" borderId="0" xfId="0" applyFont="1" applyFill="1" applyAlignment="1">
      <alignment horizontal="center"/>
    </xf>
    <xf numFmtId="0" fontId="52" fillId="13" borderId="3" xfId="0" applyFont="1" applyFill="1" applyBorder="1" applyAlignment="1">
      <alignment horizontal="center"/>
    </xf>
    <xf numFmtId="3" fontId="11" fillId="5" borderId="0" xfId="0" applyNumberFormat="1" applyFont="1" applyFill="1" applyAlignment="1">
      <alignment horizontal="left" vertical="top" wrapText="1"/>
    </xf>
    <xf numFmtId="0" fontId="54" fillId="5" borderId="0" xfId="0" applyFont="1" applyFill="1" applyAlignment="1">
      <alignment horizontal="center" vertical="center" wrapText="1"/>
    </xf>
    <xf numFmtId="0" fontId="52" fillId="13" borderId="0" xfId="0" applyFont="1" applyFill="1" applyAlignment="1">
      <alignment horizontal="center"/>
    </xf>
    <xf numFmtId="0" fontId="13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horizontal="center" wrapText="1"/>
    </xf>
  </cellXfs>
  <cellStyles count="5">
    <cellStyle name="Good" xfId="2" builtinId="26"/>
    <cellStyle name="Heading 3" xfId="4" builtinId="18"/>
    <cellStyle name="Hyperlink" xfId="1" builtinId="8"/>
    <cellStyle name="Neutral" xfId="3" builtinId="28"/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A0966"/>
      <color rgb="FFD2D4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microsoft.com/office/2017/06/relationships/rdRichValueTypes" Target="richData/rdRichValueTypes.xml"/><Relationship Id="rId37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microsoft.com/office/2017/06/relationships/rdRichValue" Target="richData/rdrichvalue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SDDR'!$G$149:$G$153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SDDR'!$F$149:$F$153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9-409F-9E0C-66ABE2432401}"/>
            </c:ext>
          </c:extLst>
        </c:ser>
        <c:ser>
          <c:idx val="1"/>
          <c:order val="1"/>
          <c:tx>
            <c:strRef>
              <c:f>'reference sheet_indiv SDDR'!$G$154:$G$158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SDDR'!$F$154:$F$158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9-409F-9E0C-66ABE2432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50800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Food</c:v>
                </c:pt>
                <c:pt idx="2">
                  <c:v>Customer Service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Food</c:v>
                </c:pt>
                <c:pt idx="2">
                  <c:v>Customer Service</c:v>
                </c:pt>
              </c:strCache>
            </c:strRef>
          </c:cat>
          <c:val>
            <c:numRef>
              <c:f>'reference sheet_indiv SDDR'!$F$139:$F$141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8-4A19-9641-990AF6A82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SDDR'!$G$147:$G$148</c:f>
              <c:strCache>
                <c:ptCount val="2"/>
                <c:pt idx="0">
                  <c:v>0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BC2-4B37-9CEE-E2B4D5FDA24C}"/>
              </c:ext>
            </c:extLst>
          </c:dPt>
          <c:dPt>
            <c:idx val="1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BC2-4B37-9CEE-E2B4D5FDA24C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5BC2-4B37-9CEE-E2B4D5FDA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'reference sheet_indiv SDDR'!$G$147:$G$148</c:f>
              <c:numCache>
                <c:formatCode>General</c:formatCode>
                <c:ptCount val="2"/>
              </c:numCache>
            </c:numRef>
          </c:cat>
          <c:val>
            <c:numRef>
              <c:f>'reference sheet_indiv SDDR'!$F$147:$F$148</c:f>
              <c:numCache>
                <c:formatCode>#,##0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C2-4B37-9CEE-E2B4D5FD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</a:t>
            </a: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SDDR'!$G$159:$G$163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SDDR'!$F$159:$F$163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E-4A6E-9F5E-98A5B38DA03B}"/>
            </c:ext>
          </c:extLst>
        </c:ser>
        <c:ser>
          <c:idx val="1"/>
          <c:order val="1"/>
          <c:tx>
            <c:strRef>
              <c:f>'reference sheet_indiv SDDR'!$G$164:$G$168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SDDR'!$F$164:$F$168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2E-4A6E-9F5E-98A5B38DA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50800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3502618836200188"/>
          <c:y val="5.1326736011264376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4358369264870225"/>
          <c:w val="0.98175499697153246"/>
          <c:h val="0.39193438598964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RP+O'!$F$4:$F$8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RP+O'!$F$4:$F$8</c15:sqref>
                  </c15:fullRef>
                </c:ext>
              </c:extLst>
              <c:f>'SDDR - RP+O'!$F$4:$F$6</c:f>
              <c:strCache>
                <c:ptCount val="3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RP+O'!$G$4:$G$8</c15:sqref>
                  </c15:fullRef>
                </c:ext>
              </c:extLst>
              <c:f>'SDDR - RP+O'!$G$4:$G$6</c:f>
              <c:numCache>
                <c:formatCode>General</c:formatCode>
                <c:ptCount val="3"/>
                <c:pt idx="0">
                  <c:v>3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0-4ED1-ADC9-69D32E54477D}"/>
            </c:ext>
          </c:extLst>
        </c:ser>
        <c:ser>
          <c:idx val="1"/>
          <c:order val="1"/>
          <c:tx>
            <c:strRef>
              <c:f>'SDDR - RP+O'!$F$4:$F$8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RP+O'!$F$4:$F$8</c15:sqref>
                  </c15:fullRef>
                </c:ext>
              </c:extLst>
              <c:f>'SDDR - RP+O'!$F$4:$F$6</c:f>
              <c:strCache>
                <c:ptCount val="3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RP+O'!$H$4:$H$8</c15:sqref>
                  </c15:fullRef>
                </c:ext>
              </c:extLst>
              <c:f>'SDDR - RP+O'!$H$4:$H$6</c:f>
              <c:numCache>
                <c:formatCode>General</c:formatCode>
                <c:ptCount val="3"/>
                <c:pt idx="0">
                  <c:v>2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60-4ED1-ADC9-69D32E544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SDDR'!$G$31:$G$33</c:f>
              <c:strCache>
                <c:ptCount val="3"/>
                <c:pt idx="0">
                  <c:v>Customer Service</c:v>
                </c:pt>
                <c:pt idx="1">
                  <c:v>Facilities</c:v>
                </c:pt>
                <c:pt idx="2">
                  <c:v>Food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SDDR'!$G$31:$G$33</c:f>
              <c:strCache>
                <c:ptCount val="3"/>
                <c:pt idx="0">
                  <c:v>Customer Service</c:v>
                </c:pt>
                <c:pt idx="1">
                  <c:v>Facilities</c:v>
                </c:pt>
                <c:pt idx="2">
                  <c:v>Food</c:v>
                </c:pt>
              </c:strCache>
            </c:strRef>
          </c:cat>
          <c:val>
            <c:numRef>
              <c:f>'reference sheet_indiv SDDR'!$F$31:$F$33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E-4ED6-AE54-2718C907C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RP+O'!$G$3:$H$3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02-4A8F-823B-7EF4EEB9473F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B63-4711-AA79-DEA4727D0A66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9B63-4711-AA79-DEA4727D0A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RP+O'!$G$3:$H$3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RP+O'!$G$9:$H$9</c:f>
              <c:numCache>
                <c:formatCode>General</c:formatCode>
                <c:ptCount val="2"/>
                <c:pt idx="0">
                  <c:v>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02-4A8F-823B-7EF4EEB94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1429728869469603"/>
          <c:w val="0.98175499697153246"/>
          <c:h val="0.421220521427124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cat>
          <c:val>
            <c:numRef>
              <c:f>'SDDR - RP+O'!$B$4:$B$8</c:f>
              <c:numCache>
                <c:formatCode>General</c:formatCode>
                <c:ptCount val="5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3-4BBE-9F9A-A0CD665A8082}"/>
            </c:ext>
          </c:extLst>
        </c:ser>
        <c:ser>
          <c:idx val="1"/>
          <c:order val="1"/>
          <c:tx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cat>
          <c:val>
            <c:numRef>
              <c:f>'SDDR - RP+O'!$C$4:$C$8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3-4BBE-9F9A-A0CD665A8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1524003396797007"/>
          <c:y val="1.862079623090878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RP+O'!$F$15:$F$19</c:f>
              <c:strCache>
                <c:ptCount val="5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RP+O'!$F$15:$F$19</c15:sqref>
                  </c15:fullRef>
                </c:ext>
              </c:extLst>
              <c:f>'SDDR - RP+O'!$F$15:$F$17</c:f>
              <c:strCache>
                <c:ptCount val="3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RP+O'!$G$15:$G$19</c15:sqref>
                  </c15:fullRef>
                </c:ext>
              </c:extLst>
              <c:f>'SDDR - RP+O'!$G$15:$G$17</c:f>
              <c:numCache>
                <c:formatCode>General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9-48CA-96C8-0CE5DD148A85}"/>
            </c:ext>
          </c:extLst>
        </c:ser>
        <c:ser>
          <c:idx val="1"/>
          <c:order val="1"/>
          <c:tx>
            <c:strRef>
              <c:f>'SDDR - RP+O'!$F$15:$F$19</c:f>
              <c:strCache>
                <c:ptCount val="5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RP+O'!$F$15:$F$19</c15:sqref>
                  </c15:fullRef>
                </c:ext>
              </c:extLst>
              <c:f>'SDDR - RP+O'!$F$15:$F$17</c:f>
              <c:strCache>
                <c:ptCount val="3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RP+O'!$H$15:$H$19</c15:sqref>
                  </c15:fullRef>
                </c:ext>
              </c:extLst>
              <c:f>'SDDR - RP+O'!$H$15:$H$17</c:f>
              <c:numCache>
                <c:formatCode>General</c:formatCode>
                <c:ptCount val="3"/>
                <c:pt idx="0">
                  <c:v>3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9-48CA-96C8-0CE5DD148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SDDR'!$G$85:$G$87</c:f>
              <c:strCache>
                <c:ptCount val="3"/>
                <c:pt idx="0">
                  <c:v>Order Accuracy</c:v>
                </c:pt>
                <c:pt idx="1">
                  <c:v>Food</c:v>
                </c:pt>
                <c:pt idx="2">
                  <c:v>Beverage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SDDR'!$G$85:$G$87</c:f>
              <c:strCache>
                <c:ptCount val="3"/>
                <c:pt idx="0">
                  <c:v>Order Accuracy</c:v>
                </c:pt>
                <c:pt idx="1">
                  <c:v>Food</c:v>
                </c:pt>
                <c:pt idx="2">
                  <c:v>Beverage</c:v>
                </c:pt>
              </c:strCache>
            </c:strRef>
          </c:cat>
          <c:val>
            <c:numRef>
              <c:f>'reference sheet_indiv SDDR'!$F$85:$F$87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7-4734-87F4-7C84DADEC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RP+O'!$G$14:$H$14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E58-4418-9CB9-24091E4F48EE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58-4418-9CB9-24091E4F48EE}"/>
              </c:ext>
            </c:extLst>
          </c:dPt>
          <c:dLbls>
            <c:dLbl>
              <c:idx val="0"/>
              <c:layout>
                <c:manualLayout>
                  <c:x val="0"/>
                  <c:y val="3.76044292800348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58-4418-9CB9-24091E4F48E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7E58-4418-9CB9-24091E4F48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RP+O'!$G$14:$H$14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RP+O'!$G$20:$H$20</c:f>
              <c:numCache>
                <c:formatCode>General</c:formatCode>
                <c:ptCount val="2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58-4418-9CB9-24091E4F4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RP+O'!$A$15:$A$19</c:f>
              <c:strCache>
                <c:ptCount val="5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RP+O'!$A$15:$A$19</c15:sqref>
                  </c15:fullRef>
                </c:ext>
              </c:extLst>
              <c:f>'SDDR - RP+O'!$A$15:$A$18</c:f>
              <c:strCache>
                <c:ptCount val="4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RP+O'!$B$15:$B$19</c15:sqref>
                  </c15:fullRef>
                </c:ext>
              </c:extLst>
              <c:f>'SDDR - RP+O'!$B$15:$B$18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9-4638-8356-2D68EB4C821C}"/>
            </c:ext>
          </c:extLst>
        </c:ser>
        <c:ser>
          <c:idx val="1"/>
          <c:order val="1"/>
          <c:tx>
            <c:strRef>
              <c:f>'SDDR - RP+O'!$A$15:$A$19</c:f>
              <c:strCache>
                <c:ptCount val="5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RP+O'!$A$15:$A$19</c15:sqref>
                  </c15:fullRef>
                </c:ext>
              </c:extLst>
              <c:f>'SDDR - RP+O'!$A$15:$A$18</c:f>
              <c:strCache>
                <c:ptCount val="4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RP+O'!$C$15:$C$19</c15:sqref>
                  </c15:fullRef>
                </c:ext>
              </c:extLst>
              <c:f>'SDDR - RP+O'!$C$15:$C$18</c:f>
              <c:numCache>
                <c:formatCode>General</c:formatCode>
                <c:ptCount val="4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D9-4638-8356-2D68EB4C8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28055679128397532"/>
          <c:y val="6.5968602867557949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'reference sheet_indiv SDDR'!$G$154:$G$158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SDDR'!$F$154:$F$158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F5-4F38-9B5C-7C2AAA73C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Food</c:v>
                </c:pt>
                <c:pt idx="2">
                  <c:v>Customer Service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1.01111621642754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190-4634-A77F-1183B52EC3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Food</c:v>
                </c:pt>
                <c:pt idx="2">
                  <c:v>Customer Service</c:v>
                </c:pt>
              </c:strCache>
            </c:strRef>
          </c:cat>
          <c:val>
            <c:numRef>
              <c:f>'reference sheet_indiv SDDR'!$F$139:$F$141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2-4572-BC21-2B2F789B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SDDR'!$G$147:$G$148</c:f>
              <c:strCache>
                <c:ptCount val="2"/>
                <c:pt idx="0">
                  <c:v>0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7-49FE-ABA3-0EA90138EDFA}"/>
              </c:ext>
            </c:extLst>
          </c:dPt>
          <c:dPt>
            <c:idx val="1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F7-49FE-ABA3-0EA90138ED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'reference sheet_indiv SDDR'!$G$147:$G$148</c:f>
              <c:numCache>
                <c:formatCode>General</c:formatCode>
                <c:ptCount val="2"/>
              </c:numCache>
            </c:numRef>
          </c:cat>
          <c:val>
            <c:numRef>
              <c:f>'reference sheet_indiv SDDR'!$F$147:$F$148</c:f>
              <c:numCache>
                <c:formatCode>#,##0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F7-49FE-ABA3-0EA90138ED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7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2629408707525111"/>
          <c:y val="5.353437524875952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'reference sheet_indiv SDDR'!$G$164:$G$168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SDDR'!$F$164:$F$168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3-4F33-AF34-475AE477C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76710752003"/>
          <c:y val="5.28989141115234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cat>
          <c:val>
            <c:numRef>
              <c:f>'SDDR - RP+O'!$G$25:$G$29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1-4C5D-A639-8958318B0A4A}"/>
            </c:ext>
          </c:extLst>
        </c:ser>
        <c:ser>
          <c:idx val="1"/>
          <c:order val="1"/>
          <c:tx>
            <c:strRef>
              <c:f>'SDDR - RP+O'!$G$208:$G$212</c:f>
              <c:strCache>
                <c:ptCount val="5"/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cat>
          <c:val>
            <c:numRef>
              <c:f>'SDDR - RP+O'!$H$25:$H$29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1-4C5D-A639-8958318B0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SDDR'!$G$193:$G$195</c:f>
              <c:strCache>
                <c:ptCount val="3"/>
                <c:pt idx="0">
                  <c:v>Facilities</c:v>
                </c:pt>
                <c:pt idx="1">
                  <c:v>Customer Service</c:v>
                </c:pt>
                <c:pt idx="2">
                  <c:v>Food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SDDR'!$G$193:$G$195</c:f>
              <c:strCache>
                <c:ptCount val="3"/>
                <c:pt idx="0">
                  <c:v>Facilities</c:v>
                </c:pt>
                <c:pt idx="1">
                  <c:v>Customer Service</c:v>
                </c:pt>
                <c:pt idx="2">
                  <c:v>Food</c:v>
                </c:pt>
              </c:strCache>
            </c:strRef>
          </c:cat>
          <c:val>
            <c:numRef>
              <c:f>'reference sheet_indiv SDDR'!$F$193:$F$195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5-4282-9933-88979BE37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RP+O'!$G$24:$H$24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D8-49E8-AB72-EF9173A7B060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189-42E0-AF79-4A09409DD455}"/>
              </c:ext>
            </c:extLst>
          </c:dPt>
          <c:dLbls>
            <c:dLbl>
              <c:idx val="0"/>
              <c:layout>
                <c:manualLayout>
                  <c:x val="0"/>
                  <c:y val="0.3262598580517156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D8-49E8-AB72-EF9173A7B0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RP+O'!$G$24:$H$24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RP+O'!$G$35:$H$35</c:f>
              <c:numCache>
                <c:formatCode>General</c:formatCode>
                <c:ptCount val="2"/>
                <c:pt idx="0">
                  <c:v>7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D8-49E8-AB72-EF9173A7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cat>
          <c:val>
            <c:numRef>
              <c:f>'SDDR - RP+O'!$B$25:$B$29</c:f>
              <c:numCache>
                <c:formatCode>General</c:formatCode>
                <c:ptCount val="5"/>
                <c:pt idx="0">
                  <c:v>6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6-4DBF-AFDC-4AE836024845}"/>
            </c:ext>
          </c:extLst>
        </c:ser>
        <c:ser>
          <c:idx val="1"/>
          <c:order val="1"/>
          <c:tx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cat>
          <c:val>
            <c:numRef>
              <c:f>'SDDR - RP+O'!$C$25:$C$29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6-4DBF-AFDC-4AE836024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RP+O'!$F$39:$F$43</c:f>
              <c:strCache>
                <c:ptCount val="5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RP+O'!$F$39:$F$43</c15:sqref>
                  </c15:fullRef>
                </c:ext>
              </c:extLst>
              <c:f>'SDDR - RP+O'!$F$39:$F$42</c:f>
              <c:strCache>
                <c:ptCount val="4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RP+O'!$G$39:$G$43</c15:sqref>
                  </c15:fullRef>
                </c:ext>
              </c:extLst>
              <c:f>'SDDR - RP+O'!$G$39:$G$42</c:f>
              <c:numCache>
                <c:formatCode>General</c:formatCode>
                <c:ptCount val="4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6-4A96-B00E-0D255A6D0BA3}"/>
            </c:ext>
          </c:extLst>
        </c:ser>
        <c:ser>
          <c:idx val="1"/>
          <c:order val="1"/>
          <c:tx>
            <c:strRef>
              <c:f>'SDDR - RP+O'!$F$39:$F$43</c:f>
              <c:strCache>
                <c:ptCount val="5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RP+O'!$F$39:$F$43</c15:sqref>
                  </c15:fullRef>
                </c:ext>
              </c:extLst>
              <c:f>'SDDR - RP+O'!$F$39:$F$42</c:f>
              <c:strCache>
                <c:ptCount val="4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RP+O'!$H$39:$H$43</c15:sqref>
                  </c15:fullRef>
                </c:ext>
              </c:extLst>
              <c:f>'SDDR - RP+O'!$H$39:$H$42</c:f>
              <c:numCache>
                <c:formatCode>General</c:formatCode>
                <c:ptCount val="4"/>
                <c:pt idx="0">
                  <c:v>5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A6-4A96-B00E-0D255A6D0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SDDR'!$G$247:$G$249</c:f>
              <c:strCache>
                <c:ptCount val="3"/>
                <c:pt idx="0">
                  <c:v>Ordering Experience</c:v>
                </c:pt>
                <c:pt idx="1">
                  <c:v>Order Accuracy</c:v>
                </c:pt>
                <c:pt idx="2">
                  <c:v>Customer Service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SDDR'!$G$247:$G$249</c:f>
              <c:strCache>
                <c:ptCount val="3"/>
                <c:pt idx="0">
                  <c:v>Ordering Experience</c:v>
                </c:pt>
                <c:pt idx="1">
                  <c:v>Order Accuracy</c:v>
                </c:pt>
                <c:pt idx="2">
                  <c:v>Customer Service</c:v>
                </c:pt>
              </c:strCache>
            </c:strRef>
          </c:cat>
          <c:val>
            <c:numRef>
              <c:f>'reference sheet_indiv SDDR'!$F$247:$F$249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0-4F4F-BF23-66703C052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RP+O'!$G$38:$H$38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F59-4C64-A762-DDC00620847C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F59-4C64-A762-DDC00620847C}"/>
              </c:ext>
            </c:extLst>
          </c:dPt>
          <c:dLbls>
            <c:dLbl>
              <c:idx val="0"/>
              <c:layout>
                <c:manualLayout>
                  <c:x val="0"/>
                  <c:y val="0.2435437162042626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59-4C64-A762-DDC00620847C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F59-4C64-A762-DDC0062084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RP+O'!$G$38:$H$38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RP+O'!$G$47:$H$47</c:f>
              <c:numCache>
                <c:formatCode>General</c:formatCode>
                <c:ptCount val="2"/>
                <c:pt idx="0">
                  <c:v>3</c:v>
                </c:pt>
                <c:pt idx="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59-4C64-A762-DDC006208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cat>
          <c:val>
            <c:numRef>
              <c:f>'SDDR - RP+O'!$B$39:$B$43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8-449F-9B01-9564BE7C10B2}"/>
            </c:ext>
          </c:extLst>
        </c:ser>
        <c:ser>
          <c:idx val="1"/>
          <c:order val="1"/>
          <c:tx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cat>
          <c:val>
            <c:numRef>
              <c:f>'SDDR - RP+O'!$C$39:$C$43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38-449F-9B01-9564BE7C1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RP+O'!$F$54:$F$58</c:f>
              <c:strCache>
                <c:ptCount val="5"/>
                <c:pt idx="0">
                  <c:v>Unknown</c:v>
                </c:pt>
                <c:pt idx="1">
                  <c:v>Bone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RP+O'!$F$54:$F$58</c15:sqref>
                  </c15:fullRef>
                </c:ext>
              </c:extLst>
              <c:f>'SDDR - RP+O'!$F$54:$F$55</c:f>
              <c:strCache>
                <c:ptCount val="2"/>
                <c:pt idx="0">
                  <c:v>Unknown</c:v>
                </c:pt>
                <c:pt idx="1">
                  <c:v>Bone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RP+O'!$G$54:$G$58</c15:sqref>
                  </c15:fullRef>
                </c:ext>
              </c:extLst>
              <c:f>'SDDR - RP+O'!$G$54:$G$55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87-4377-87CC-9EC10F84E7D9}"/>
            </c:ext>
          </c:extLst>
        </c:ser>
        <c:ser>
          <c:idx val="1"/>
          <c:order val="1"/>
          <c:tx>
            <c:strRef>
              <c:f>'SDDR - RP+O'!$F$54:$F$58</c:f>
              <c:strCache>
                <c:ptCount val="5"/>
                <c:pt idx="0">
                  <c:v>Unknown</c:v>
                </c:pt>
                <c:pt idx="1">
                  <c:v>Bone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RP+O'!$F$54:$F$58</c15:sqref>
                  </c15:fullRef>
                </c:ext>
              </c:extLst>
              <c:f>'SDDR - RP+O'!$F$54:$F$55</c:f>
              <c:strCache>
                <c:ptCount val="2"/>
                <c:pt idx="0">
                  <c:v>Unknown</c:v>
                </c:pt>
                <c:pt idx="1">
                  <c:v>Bone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RP+O'!$H$54:$H$58</c15:sqref>
                  </c15:fullRef>
                </c:ext>
              </c:extLst>
              <c:f>'SDDR - RP+O'!$H$54:$H$55</c:f>
              <c:numCache>
                <c:formatCode>General</c:formatCode>
                <c:ptCount val="2"/>
                <c:pt idx="0">
                  <c:v>3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87-4377-87CC-9EC10F84E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SDDR'!$G$301:$G$303</c:f>
              <c:strCache>
                <c:ptCount val="3"/>
                <c:pt idx="0">
                  <c:v>Food</c:v>
                </c:pt>
                <c:pt idx="1">
                  <c:v>Customer Service</c:v>
                </c:pt>
                <c:pt idx="2">
                  <c:v>Pricing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0.183163608690488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3C-4464-9D2D-F99C097780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SDDR'!$G$301:$G$303</c:f>
              <c:strCache>
                <c:ptCount val="3"/>
                <c:pt idx="0">
                  <c:v>Food</c:v>
                </c:pt>
                <c:pt idx="1">
                  <c:v>Customer Service</c:v>
                </c:pt>
                <c:pt idx="2">
                  <c:v>Pricing</c:v>
                </c:pt>
              </c:strCache>
            </c:strRef>
          </c:cat>
          <c:val>
            <c:numRef>
              <c:f>'reference sheet_indiv SDDR'!$F$301:$F$303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F-4B07-96D9-59079DB5F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RP+O'!$G$53:$H$53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B41-4EE7-A431-BD7717B7B8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RP+O'!$G$53:$H$53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RP+O'!$G$59:$H$59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41-4EE7-A431-BD7717B7B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8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RP+O'!$A$54:$A$58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RP+O'!$A$54:$A$58</c15:sqref>
                  </c15:fullRef>
                </c:ext>
              </c:extLst>
              <c:f>'SDDR - RP+O'!$A$54:$A$57</c:f>
              <c:strCache>
                <c:ptCount val="4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RP+O'!$B$54:$B$58</c15:sqref>
                  </c15:fullRef>
                </c:ext>
              </c:extLst>
              <c:f>'SDDR - RP+O'!$B$54:$B$57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7-4D21-9CF3-EF9AD40460FA}"/>
            </c:ext>
          </c:extLst>
        </c:ser>
        <c:ser>
          <c:idx val="1"/>
          <c:order val="1"/>
          <c:tx>
            <c:strRef>
              <c:f>'SDDR - RP+O'!$A$54:$A$58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RP+O'!$A$54:$A$58</c15:sqref>
                  </c15:fullRef>
                </c:ext>
              </c:extLst>
              <c:f>'SDDR - RP+O'!$A$54:$A$57</c:f>
              <c:strCache>
                <c:ptCount val="4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RP+O'!$C$54:$C$58</c15:sqref>
                  </c15:fullRef>
                </c:ext>
              </c:extLst>
              <c:f>'SDDR - RP+O'!$C$54:$C$57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17-4D21-9CF3-EF9AD4046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cat>
          <c:val>
            <c:numRef>
              <c:f>'Overall - RP+O'!$N$25:$N$29</c:f>
              <c:numCache>
                <c:formatCode>General</c:formatCode>
                <c:ptCount val="5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D-4C62-B72B-90352DFC1612}"/>
            </c:ext>
          </c:extLst>
        </c:ser>
        <c:ser>
          <c:idx val="1"/>
          <c:order val="1"/>
          <c:tx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cat>
          <c:val>
            <c:numRef>
              <c:f>'Overall - RP+O'!$O$25:$O$29</c:f>
              <c:numCache>
                <c:formatCode>General</c:formatCode>
                <c:ptCount val="5"/>
                <c:pt idx="0">
                  <c:v>9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ED-4C62-B72B-90352DFC1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sheet_all SDDR'!$F$31:$F$33</c:f>
              <c:strCache>
                <c:ptCount val="3"/>
                <c:pt idx="0">
                  <c:v>Order Accuracy</c:v>
                </c:pt>
                <c:pt idx="1">
                  <c:v>Ordering Experience</c:v>
                </c:pt>
                <c:pt idx="2">
                  <c:v>Customer Service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sheet_all SDDR'!$F$31:$F$33</c:f>
              <c:strCache>
                <c:ptCount val="3"/>
                <c:pt idx="0">
                  <c:v>Order Accuracy</c:v>
                </c:pt>
                <c:pt idx="1">
                  <c:v>Ordering Experience</c:v>
                </c:pt>
                <c:pt idx="2">
                  <c:v>Customer Service</c:v>
                </c:pt>
              </c:strCache>
            </c:strRef>
          </c:cat>
          <c:val>
            <c:numRef>
              <c:f>'reference sheet_all SDDR'!$E$31:$E$33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5-45E4-A378-9D49CABB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- RP+O'!$N$4:$O$4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CF91-4BF3-ADE6-49C0C7D82BC8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91-4BF3-ADE6-49C0C7D82BC8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CF91-4BF3-ADE6-49C0C7D82B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- RP+O'!$N$4:$O$4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'Overall - RP+O'!$N$19:$O$19</c:f>
              <c:numCache>
                <c:formatCode>General</c:formatCode>
                <c:ptCount val="2"/>
                <c:pt idx="0">
                  <c:v>16</c:v>
                </c:pt>
                <c:pt idx="1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EE-47CA-8DEC-7E447DA36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cat>
          <c:val>
            <c:numRef>
              <c:f>'Overall - RP+O'!$N$5:$N$9</c:f>
              <c:numCache>
                <c:formatCode>General</c:formatCode>
                <c:ptCount val="5"/>
                <c:pt idx="0">
                  <c:v>12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C-482C-BDEA-33885A4B92AF}"/>
            </c:ext>
          </c:extLst>
        </c:ser>
        <c:ser>
          <c:idx val="1"/>
          <c:order val="1"/>
          <c:tx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cat>
          <c:val>
            <c:numRef>
              <c:f>'Overall - RP+O'!$O$5:$O$9</c:f>
              <c:numCache>
                <c:formatCode>General</c:formatCode>
                <c:ptCount val="5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7C-482C-BDEA-33885A4B9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533939000395647E-3"/>
          <c:y val="0"/>
          <c:w val="0.98175499697153246"/>
          <c:h val="0.56711399609909063"/>
        </c:manualLayout>
      </c:layout>
      <c:barChart>
        <c:barDir val="col"/>
        <c:grouping val="clustered"/>
        <c:varyColors val="0"/>
        <c:ser>
          <c:idx val="0"/>
          <c:order val="0"/>
          <c:tx>
            <c:v>Origami</c:v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595245487965334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B5-4607-8727-362453A549D9}"/>
                </c:ext>
              </c:extLst>
            </c:dLbl>
            <c:dLbl>
              <c:idx val="1"/>
              <c:layout>
                <c:manualLayout>
                  <c:x val="-1.3617236617700758E-16"/>
                  <c:y val="0.22795441404205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B5-4607-8727-362453A549D9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E1D9F9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1"/>
              <c:pt idx="0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2-D0B5-4607-8727-362453A549D9}"/>
            </c:ext>
          </c:extLst>
        </c:ser>
        <c:ser>
          <c:idx val="1"/>
          <c:order val="1"/>
          <c:tx>
            <c:v>Red Phone</c:v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777047762981159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B5-4607-8727-362453A549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0A09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1"/>
              <c:pt idx="0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4-D0B5-4607-8727-362453A54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753940473256221"/>
          <c:y val="0.62944219182432981"/>
          <c:w val="0.71123273021942668"/>
          <c:h val="0.15750736352392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660547414082341E-5"/>
          <c:y val="0"/>
          <c:w val="0.98175499697153246"/>
          <c:h val="0.68722514039710303"/>
        </c:manualLayout>
      </c:layout>
      <c:barChart>
        <c:barDir val="col"/>
        <c:grouping val="clustered"/>
        <c:varyColors val="0"/>
        <c:ser>
          <c:idx val="0"/>
          <c:order val="0"/>
          <c:tx>
            <c:v>Origami</c:v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595245487965334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8EC-4CFE-BBD8-1BACA5ED9575}"/>
                </c:ext>
              </c:extLst>
            </c:dLbl>
            <c:dLbl>
              <c:idx val="1"/>
              <c:layout>
                <c:manualLayout>
                  <c:x val="-1.3617236617700758E-16"/>
                  <c:y val="0.22795441404205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8EC-4CFE-BBD8-1BACA5ED9575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E1D9F9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1"/>
              <c:pt idx="0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2-28EC-4CFE-BBD8-1BACA5ED9575}"/>
            </c:ext>
          </c:extLst>
        </c:ser>
        <c:ser>
          <c:idx val="1"/>
          <c:order val="1"/>
          <c:tx>
            <c:v>Red Phone</c:v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777047762981159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8EC-4CFE-BBD8-1BACA5ED95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0A09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1"/>
              <c:pt idx="0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4-28EC-4CFE-BBD8-1BACA5ED9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753922879362548"/>
          <c:y val="0.77357526968160273"/>
          <c:w val="0.71123273021942668"/>
          <c:h val="0.15750736352392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</a:rPr>
              <a:t> Foreign Object Found</a:t>
            </a: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7019897099822709"/>
          <c:w val="0.98175499697153246"/>
          <c:h val="0.4653191694474089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'metrics location on report'!$U$43</c:f>
              <c:strCache>
                <c:ptCount val="1"/>
                <c:pt idx="0">
                  <c:v>Origami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report'!$T$44:$T$48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Insect</c:v>
                </c:pt>
                <c:pt idx="3">
                  <c:v>Hair</c:v>
                </c:pt>
                <c:pt idx="4">
                  <c:v>Glass</c:v>
                </c:pt>
              </c:strCache>
            </c:strRef>
          </c:cat>
          <c:val>
            <c:numRef>
              <c:f>'metrics location on report'!$U$44:$U$48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9-4876-BF03-3C2FFA9A111C}"/>
            </c:ext>
          </c:extLst>
        </c:ser>
        <c:ser>
          <c:idx val="0"/>
          <c:order val="1"/>
          <c:tx>
            <c:strRef>
              <c:f>'metrics location on report'!$V$43</c:f>
              <c:strCache>
                <c:ptCount val="1"/>
                <c:pt idx="0">
                  <c:v>Red Phone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report'!$T$44:$T$48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Insect</c:v>
                </c:pt>
                <c:pt idx="3">
                  <c:v>Hair</c:v>
                </c:pt>
                <c:pt idx="4">
                  <c:v>Glass</c:v>
                </c:pt>
              </c:strCache>
            </c:strRef>
          </c:cat>
          <c:val>
            <c:numRef>
              <c:f>'metrics location on report'!$V$44:$V$48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6-4887-B34D-D2AC7FA1D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rgbClr val="0A0966"/>
        </a:solidFill>
      </c:spPr>
    </c:plotArea>
    <c:plotVisOnly val="1"/>
    <c:dispBlanksAs val="gap"/>
    <c:showDLblsOverMax val="0"/>
    <c:extLst/>
  </c:chart>
  <c:spPr>
    <a:solidFill>
      <a:srgbClr val="0A0966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</a:rPr>
              <a:t>Location Where Foreign Object was Found</a:t>
            </a:r>
          </a:p>
        </c:rich>
      </c:tx>
      <c:layout>
        <c:manualLayout>
          <c:xMode val="edge"/>
          <c:yMode val="edge"/>
          <c:x val="0.13850361501063041"/>
          <c:y val="6.809869495127886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7019897099822709"/>
          <c:w val="0.98175499697153246"/>
          <c:h val="0.4653191694474089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'metrics location on report'!$U$51</c:f>
              <c:strCache>
                <c:ptCount val="1"/>
                <c:pt idx="0">
                  <c:v>Origami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report'!$T$52:$T$56</c:f>
              <c:strCache>
                <c:ptCount val="5"/>
                <c:pt idx="0">
                  <c:v>Salad Bar</c:v>
                </c:pt>
                <c:pt idx="1">
                  <c:v>Soup</c:v>
                </c:pt>
                <c:pt idx="2">
                  <c:v>Meat</c:v>
                </c:pt>
                <c:pt idx="3">
                  <c:v>Pasta</c:v>
                </c:pt>
                <c:pt idx="4">
                  <c:v>Sandwich</c:v>
                </c:pt>
              </c:strCache>
            </c:strRef>
          </c:cat>
          <c:val>
            <c:numRef>
              <c:f>'metrics location on report'!$U$52:$U$56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E-481A-8531-8F49D9D36597}"/>
            </c:ext>
          </c:extLst>
        </c:ser>
        <c:ser>
          <c:idx val="0"/>
          <c:order val="1"/>
          <c:tx>
            <c:strRef>
              <c:f>'metrics location on report'!$V$51</c:f>
              <c:strCache>
                <c:ptCount val="1"/>
                <c:pt idx="0">
                  <c:v>Red Phone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report'!$T$52:$T$56</c:f>
              <c:strCache>
                <c:ptCount val="5"/>
                <c:pt idx="0">
                  <c:v>Salad Bar</c:v>
                </c:pt>
                <c:pt idx="1">
                  <c:v>Soup</c:v>
                </c:pt>
                <c:pt idx="2">
                  <c:v>Meat</c:v>
                </c:pt>
                <c:pt idx="3">
                  <c:v>Pasta</c:v>
                </c:pt>
                <c:pt idx="4">
                  <c:v>Sandwich</c:v>
                </c:pt>
              </c:strCache>
            </c:strRef>
          </c:cat>
          <c:val>
            <c:numRef>
              <c:f>'metrics location on report'!$V$52:$V$56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84-4B27-B620-90447BDB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rgbClr val="0A0966"/>
        </a:solidFill>
      </c:spPr>
    </c:plotArea>
    <c:plotVisOnly val="1"/>
    <c:dispBlanksAs val="gap"/>
    <c:showDLblsOverMax val="0"/>
    <c:extLst/>
  </c:chart>
  <c:spPr>
    <a:solidFill>
      <a:srgbClr val="0A0966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Order Accuracy</c:v>
              </c:pt>
              <c:pt idx="1">
                <c:v>Food</c:v>
              </c:pt>
              <c:pt idx="2">
                <c:v>Customer Service</c:v>
              </c:pt>
            </c:strLit>
          </c:cat>
          <c:val>
            <c:numLit>
              <c:formatCode>General</c:formatCode>
              <c:ptCount val="3"/>
              <c:pt idx="0">
                <c:v>146</c:v>
              </c:pt>
              <c:pt idx="1">
                <c:v>116</c:v>
              </c:pt>
              <c:pt idx="2">
                <c:v>112</c:v>
              </c:pt>
            </c:numLit>
          </c:val>
          <c:extLst>
            <c:ext xmlns:c16="http://schemas.microsoft.com/office/drawing/2014/chart" uri="{C3380CC4-5D6E-409C-BE32-E72D297353CC}">
              <c16:uniqueId val="{00000000-905C-415A-923B-4B42110A7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33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33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11.png"/><Relationship Id="rId2" Type="http://schemas.openxmlformats.org/officeDocument/2006/relationships/chart" Target="../charts/chart5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image" Target="../media/image11.png"/><Relationship Id="rId2" Type="http://schemas.openxmlformats.org/officeDocument/2006/relationships/chart" Target="../charts/chart9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image" Target="../media/image11.png"/><Relationship Id="rId2" Type="http://schemas.openxmlformats.org/officeDocument/2006/relationships/chart" Target="../charts/chart13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image" Target="../media/image11.png"/><Relationship Id="rId2" Type="http://schemas.openxmlformats.org/officeDocument/2006/relationships/chart" Target="../charts/chart17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7" Type="http://schemas.openxmlformats.org/officeDocument/2006/relationships/image" Target="../media/image11.png"/><Relationship Id="rId2" Type="http://schemas.openxmlformats.org/officeDocument/2006/relationships/chart" Target="../charts/chart21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7" Type="http://schemas.openxmlformats.org/officeDocument/2006/relationships/image" Target="../media/image11.png"/><Relationship Id="rId2" Type="http://schemas.openxmlformats.org/officeDocument/2006/relationships/chart" Target="../charts/chart25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7" Type="http://schemas.openxmlformats.org/officeDocument/2006/relationships/image" Target="../media/image11.png"/><Relationship Id="rId2" Type="http://schemas.openxmlformats.org/officeDocument/2006/relationships/chart" Target="../charts/chart29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3.png"/><Relationship Id="rId1" Type="http://schemas.openxmlformats.org/officeDocument/2006/relationships/chart" Target="../charts/chart33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91A33714-0FC6-4A91-AE03-919C43812A4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FA2D71C3-888D-41A9-B181-0A4ABC13FA5D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2E2F262-F83D-46EC-864A-5F1CB5D960C8}"/>
            </a:ext>
          </a:extLst>
        </xdr:cNvPr>
        <xdr:cNvSpPr/>
      </xdr:nvSpPr>
      <xdr:spPr>
        <a:xfrm>
          <a:off x="4555331" y="2012949"/>
          <a:ext cx="653255" cy="151011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2A622B34-D50F-4D2A-ADC1-14046B1CCBF1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074C431-6991-4A5B-BA20-0AAE7AF748D6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3663129D-13FF-4760-B396-98DEC44CBFF5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8C465274-28B9-4D46-86A6-B37C25EA9E90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6B0F3301-E822-491C-8C9C-B6FD96567035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5BCF2C4-D818-4058-8390-7BE5DBAB886B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5A929FC9-5E38-4E03-92BC-4805AF35DB1C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EFEE2C3-E2CE-469C-82F8-FFD4AE3C9BDA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592B94F5-DD2D-4462-AAF5-58A31FBCE1A8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898685B2-5B36-41D3-BB9C-963780FF16B3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CCEAAE2B-4F4F-48E9-884B-F0DACB58BE07}"/>
            </a:ext>
          </a:extLst>
        </xdr:cNvPr>
        <xdr:cNvSpPr/>
      </xdr:nvSpPr>
      <xdr:spPr>
        <a:xfrm>
          <a:off x="4555331" y="2012949"/>
          <a:ext cx="653255" cy="151011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1806443A-64C7-4B2B-9853-A6C095B693AB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6DBFFA-08FC-446B-AFE7-45C7281290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9FE0E58A-0295-41E6-B8CF-708C47306064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86D060A-B061-4148-B5B8-E3BDD1FB4B36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06413354-1A45-43B4-9E3D-E346EB309050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BAC2A79-8364-421B-AABE-AC534A05BC6B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F649E5F8-83E1-4E8B-BE94-B3EF9A554C83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19CDFD66-4841-4993-A9E0-8719CB6F708E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104132</xdr:rowOff>
    </xdr:from>
    <xdr:to>
      <xdr:col>11</xdr:col>
      <xdr:colOff>179079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6A1C5AF2-91E3-436C-A5CB-63ABBB42E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F469D593-EC8E-42F9-9BD1-F496727B4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98C5B7-3EA6-4E54-AF14-AEB9A532AE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27" name="Chart 17">
          <a:extLst>
            <a:ext uri="{FF2B5EF4-FFF2-40B4-BE49-F238E27FC236}">
              <a16:creationId xmlns:a16="http://schemas.microsoft.com/office/drawing/2014/main" id="{27A12D29-CEA0-49BD-BD50-DC101C7E6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28" name="Chart 15">
          <a:extLst>
            <a:ext uri="{FF2B5EF4-FFF2-40B4-BE49-F238E27FC236}">
              <a16:creationId xmlns:a16="http://schemas.microsoft.com/office/drawing/2014/main" id="{A841F62D-ADF3-4B98-AC57-1FF786B38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19740</xdr:colOff>
      <xdr:row>29</xdr:row>
      <xdr:rowOff>137630</xdr:rowOff>
    </xdr:from>
    <xdr:to>
      <xdr:col>7</xdr:col>
      <xdr:colOff>554481</xdr:colOff>
      <xdr:row>47</xdr:row>
      <xdr:rowOff>16639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583D7B-BF52-14CC-1D99-57C1BC12C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653" y="4212673"/>
          <a:ext cx="4212219" cy="315574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28023</xdr:colOff>
      <xdr:row>50</xdr:row>
      <xdr:rowOff>126173</xdr:rowOff>
    </xdr:from>
    <xdr:to>
      <xdr:col>8</xdr:col>
      <xdr:colOff>112093</xdr:colOff>
      <xdr:row>68</xdr:row>
      <xdr:rowOff>74862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3EA841-68FA-B7B7-AD86-866E64895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936" y="9907934"/>
          <a:ext cx="4364936" cy="322860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72612</xdr:colOff>
      <xdr:row>72</xdr:row>
      <xdr:rowOff>85999</xdr:rowOff>
    </xdr:from>
    <xdr:to>
      <xdr:col>8</xdr:col>
      <xdr:colOff>474154</xdr:colOff>
      <xdr:row>93</xdr:row>
      <xdr:rowOff>8426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CB9772-D327-A169-A28C-F1A7B6AF2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525" y="13876542"/>
          <a:ext cx="4685583" cy="374899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219106</xdr:colOff>
      <xdr:row>133</xdr:row>
      <xdr:rowOff>57978</xdr:rowOff>
    </xdr:from>
    <xdr:to>
      <xdr:col>16</xdr:col>
      <xdr:colOff>277667</xdr:colOff>
      <xdr:row>146</xdr:row>
      <xdr:rowOff>29955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CDB348-6E1F-0C49-1696-4DBD9A55F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35323" y="24864391"/>
          <a:ext cx="4345778" cy="2343978"/>
        </a:xfrm>
        <a:prstGeom prst="rect">
          <a:avLst/>
        </a:prstGeom>
      </xdr:spPr>
    </xdr:pic>
    <xdr:clientData/>
  </xdr:twoCellAnchor>
  <xdr:twoCellAnchor editAs="oneCell">
    <xdr:from>
      <xdr:col>0</xdr:col>
      <xdr:colOff>41414</xdr:colOff>
      <xdr:row>131</xdr:row>
      <xdr:rowOff>103729</xdr:rowOff>
    </xdr:from>
    <xdr:to>
      <xdr:col>8</xdr:col>
      <xdr:colOff>392459</xdr:colOff>
      <xdr:row>142</xdr:row>
      <xdr:rowOff>178971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4FCD64-806C-89C3-0C5A-A7CBA5CB9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414" y="24545707"/>
          <a:ext cx="5257524" cy="2082809"/>
        </a:xfrm>
        <a:prstGeom prst="rect">
          <a:avLst/>
        </a:prstGeom>
      </xdr:spPr>
    </xdr:pic>
    <xdr:clientData/>
  </xdr:twoCellAnchor>
  <xdr:twoCellAnchor editAs="oneCell">
    <xdr:from>
      <xdr:col>16</xdr:col>
      <xdr:colOff>440361</xdr:colOff>
      <xdr:row>132</xdr:row>
      <xdr:rowOff>177110</xdr:rowOff>
    </xdr:from>
    <xdr:to>
      <xdr:col>21</xdr:col>
      <xdr:colOff>364795</xdr:colOff>
      <xdr:row>147</xdr:row>
      <xdr:rowOff>152262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B1D7E9-A738-8FE1-E8DB-D64E8E478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46970" y="24801306"/>
          <a:ext cx="2988999" cy="27084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76AFB62-1D27-4ED9-A917-6EBE46BA8B2D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A0E1973-F510-4659-885A-258EEA1D0226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239356</xdr:colOff>
      <xdr:row>14</xdr:row>
      <xdr:rowOff>219808</xdr:rowOff>
    </xdr:from>
    <xdr:to>
      <xdr:col>11</xdr:col>
      <xdr:colOff>20742</xdr:colOff>
      <xdr:row>22</xdr:row>
      <xdr:rowOff>9002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C0350BB6-A093-479A-8BAF-56CC05795234}"/>
            </a:ext>
          </a:extLst>
        </xdr:cNvPr>
        <xdr:cNvSpPr/>
      </xdr:nvSpPr>
      <xdr:spPr>
        <a:xfrm>
          <a:off x="4532933" y="2300654"/>
          <a:ext cx="660617" cy="115200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7EE9EC31-AEEA-4D08-8447-5DC52D51091C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5427353-7959-430A-822B-2F6387D9965B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8B142BEB-8A87-4EC9-9FBE-875DA75601A7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2C5B6A10-2475-465D-BC93-8E10426A006E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126312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8305DD0-8DB3-4DB4-92BB-AF342E1AD980}"/>
            </a:ext>
          </a:extLst>
        </xdr:cNvPr>
        <xdr:cNvSpPr/>
      </xdr:nvSpPr>
      <xdr:spPr>
        <a:xfrm>
          <a:off x="3197227" y="4561390"/>
          <a:ext cx="2260916" cy="810831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3A84753C-64A2-4A5F-8B58-AE390282268E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6691BED5-6C03-43B9-95D9-68B76AD0730B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8C25501-03CF-4A01-957D-90BB66A4F655}"/>
            </a:ext>
          </a:extLst>
        </xdr:cNvPr>
        <xdr:cNvSpPr/>
      </xdr:nvSpPr>
      <xdr:spPr>
        <a:xfrm>
          <a:off x="2474010" y="6659887"/>
          <a:ext cx="271437" cy="451103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88BB96F2-BECC-4892-8ECA-50A0D90782B6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434AF5D4-C9FF-49F3-B337-0E2A84C8048D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8FEAF1D6-2CDF-41C9-B36A-B1CA9D686A90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10671</xdr:colOff>
      <xdr:row>25</xdr:row>
      <xdr:rowOff>40237</xdr:rowOff>
    </xdr:from>
    <xdr:to>
      <xdr:col>12</xdr:col>
      <xdr:colOff>92576</xdr:colOff>
      <xdr:row>26</xdr:row>
      <xdr:rowOff>93447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F83DD0-78DF-4992-90DF-E0696391D2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82866" y="1297850"/>
          <a:ext cx="174593" cy="5323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AB35B1F-4188-4C93-AB70-3B78537B74CA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C7AA1CDD-88C5-4166-9295-D530239BB695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B24C754E-9879-477D-B19A-48FAE605C926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141734</xdr:rowOff>
    </xdr:from>
    <xdr:to>
      <xdr:col>12</xdr:col>
      <xdr:colOff>11034</xdr:colOff>
      <xdr:row>35</xdr:row>
      <xdr:rowOff>54437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D7CF15F-5012-45A5-A43D-22CE51FC6EB6}"/>
            </a:ext>
          </a:extLst>
        </xdr:cNvPr>
        <xdr:cNvSpPr/>
      </xdr:nvSpPr>
      <xdr:spPr>
        <a:xfrm>
          <a:off x="3190934" y="4604877"/>
          <a:ext cx="2262957" cy="816217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AD8B5B78-451B-4241-A955-7B37E8A27F85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F8FBA0D0-353C-4A36-82A1-01CDCB36C6D9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64" name="Chart 15">
          <a:extLst>
            <a:ext uri="{FF2B5EF4-FFF2-40B4-BE49-F238E27FC236}">
              <a16:creationId xmlns:a16="http://schemas.microsoft.com/office/drawing/2014/main" id="{9B5246EB-AF2E-489A-AB2D-3580C4D2C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56557</xdr:colOff>
      <xdr:row>34</xdr:row>
      <xdr:rowOff>54490</xdr:rowOff>
    </xdr:from>
    <xdr:to>
      <xdr:col>6</xdr:col>
      <xdr:colOff>241787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29ACCFE0-B50F-4DC1-8815-D92628A16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3</xdr:colOff>
      <xdr:row>41</xdr:row>
      <xdr:rowOff>88747</xdr:rowOff>
    </xdr:from>
    <xdr:to>
      <xdr:col>13</xdr:col>
      <xdr:colOff>0</xdr:colOff>
      <xdr:row>42</xdr:row>
      <xdr:rowOff>73816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149F817-2BD4-497A-B1DA-849CC631BF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3727" y="3777976"/>
          <a:ext cx="163663" cy="53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32" name="Chart 17">
          <a:extLst>
            <a:ext uri="{FF2B5EF4-FFF2-40B4-BE49-F238E27FC236}">
              <a16:creationId xmlns:a16="http://schemas.microsoft.com/office/drawing/2014/main" id="{1EDDCFDE-49F2-46D4-BBCA-152778BD2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220170</xdr:colOff>
      <xdr:row>49</xdr:row>
      <xdr:rowOff>88572</xdr:rowOff>
    </xdr:from>
    <xdr:to>
      <xdr:col>11</xdr:col>
      <xdr:colOff>183698</xdr:colOff>
      <xdr:row>55</xdr:row>
      <xdr:rowOff>65943</xdr:rowOff>
    </xdr:to>
    <xdr:graphicFrame macro="">
      <xdr:nvGraphicFramePr>
        <xdr:cNvPr id="60" name="Chart 15">
          <a:extLst>
            <a:ext uri="{FF2B5EF4-FFF2-40B4-BE49-F238E27FC236}">
              <a16:creationId xmlns:a16="http://schemas.microsoft.com/office/drawing/2014/main" id="{A39C790C-43E7-4602-9774-AE723CCBA6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276226</xdr:colOff>
      <xdr:row>2</xdr:row>
      <xdr:rowOff>35719</xdr:rowOff>
    </xdr:from>
    <xdr:to>
      <xdr:col>4</xdr:col>
      <xdr:colOff>541735</xdr:colOff>
      <xdr:row>8</xdr:row>
      <xdr:rowOff>1904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32CD0E5-8684-0116-1F5B-03C78C267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789" y="339328"/>
          <a:ext cx="1256902" cy="912732"/>
        </a:xfrm>
        <a:prstGeom prst="rect">
          <a:avLst/>
        </a:prstGeom>
      </xdr:spPr>
    </xdr:pic>
    <xdr:clientData/>
  </xdr:twoCellAnchor>
  <xdr:twoCellAnchor editAs="oneCell">
    <xdr:from>
      <xdr:col>10</xdr:col>
      <xdr:colOff>477039</xdr:colOff>
      <xdr:row>6</xdr:row>
      <xdr:rowOff>85223</xdr:rowOff>
    </xdr:from>
    <xdr:to>
      <xdr:col>11</xdr:col>
      <xdr:colOff>235792</xdr:colOff>
      <xdr:row>7</xdr:row>
      <xdr:rowOff>149478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B57BC9-6B33-5D50-8AA8-5B06A524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8986" y="1052762"/>
          <a:ext cx="388573" cy="1996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C201A95-19BA-4A93-A2AC-D5FE41319E4D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9BC40C4-8AFD-427F-837F-CB9EDB49FFE1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4290386E-A9B8-4364-994C-366D22155157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44CD2A4A-A9F2-49F3-8E21-1F88050D5106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B1C14CE-15E0-413F-8639-E02FF16BD8BB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488930B0-FF9B-4AA0-98F6-3644C95436EE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A2EE540C-9C9F-4146-A06C-3E9BAF6265FE}"/>
            </a:ext>
          </a:extLst>
        </xdr:cNvPr>
        <xdr:cNvSpPr/>
      </xdr:nvSpPr>
      <xdr:spPr>
        <a:xfrm>
          <a:off x="3190480" y="46760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EA432EE-023B-43B5-BBDB-11DF149FFFA1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3DCA97E3-6F7E-432C-B2BE-DC8A884CE12D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EC400F46-7CB5-4904-A4AC-BC4089255007}"/>
            </a:ext>
          </a:extLst>
        </xdr:cNvPr>
        <xdr:cNvSpPr/>
      </xdr:nvSpPr>
      <xdr:spPr>
        <a:xfrm>
          <a:off x="2479484" y="6620364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95225C51-3148-40F6-A1A4-CD88F0160C71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53EA6818-0B0C-43B0-BA4E-34D88A098E08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647B16B3-0B50-44CD-A21A-8D42C604379B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198973</xdr:colOff>
      <xdr:row>25</xdr:row>
      <xdr:rowOff>97876</xdr:rowOff>
    </xdr:from>
    <xdr:to>
      <xdr:col>13</xdr:col>
      <xdr:colOff>15875</xdr:colOff>
      <xdr:row>26</xdr:row>
      <xdr:rowOff>92471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DE5EDA7-0879-4726-9ADA-075920B3CE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88239" y="1340835"/>
          <a:ext cx="169220" cy="5341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8F95C108-D71C-44C1-B307-BCE75F23F483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4C5B3642-FBD0-4457-A8D5-8EBF92C4C94C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2C5657FC-3124-499C-AF66-A4E0D9CFA7B9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29</xdr:row>
      <xdr:rowOff>139669</xdr:rowOff>
    </xdr:from>
    <xdr:to>
      <xdr:col>12</xdr:col>
      <xdr:colOff>7859</xdr:colOff>
      <xdr:row>35</xdr:row>
      <xdr:rowOff>52372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6908F956-EDDF-4F0E-B31C-85E19096A309}"/>
            </a:ext>
          </a:extLst>
        </xdr:cNvPr>
        <xdr:cNvSpPr/>
      </xdr:nvSpPr>
      <xdr:spPr>
        <a:xfrm>
          <a:off x="3188509" y="4718238"/>
          <a:ext cx="2258453" cy="819220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309B7F2-CE52-4AC3-AE19-BEAE43B15CD1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62ACC500-B62C-4BAE-BDD5-E8F639A6A998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100897</xdr:rowOff>
    </xdr:from>
    <xdr:to>
      <xdr:col>11</xdr:col>
      <xdr:colOff>179079</xdr:colOff>
      <xdr:row>48</xdr:row>
      <xdr:rowOff>74025</xdr:rowOff>
    </xdr:to>
    <xdr:graphicFrame macro="">
      <xdr:nvGraphicFramePr>
        <xdr:cNvPr id="35" name="Chart 15">
          <a:extLst>
            <a:ext uri="{FF2B5EF4-FFF2-40B4-BE49-F238E27FC236}">
              <a16:creationId xmlns:a16="http://schemas.microsoft.com/office/drawing/2014/main" id="{A7C8FDAC-0ABD-49E7-93E4-E3F3D938C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10575</xdr:colOff>
      <xdr:row>34</xdr:row>
      <xdr:rowOff>20934</xdr:rowOff>
    </xdr:from>
    <xdr:to>
      <xdr:col>6</xdr:col>
      <xdr:colOff>27215</xdr:colOff>
      <xdr:row>41</xdr:row>
      <xdr:rowOff>78914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359C4D1C-645F-40FD-9382-D3CE1FCC4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23265</xdr:rowOff>
    </xdr:from>
    <xdr:to>
      <xdr:col>13</xdr:col>
      <xdr:colOff>8733</xdr:colOff>
      <xdr:row>42</xdr:row>
      <xdr:rowOff>105568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04C9EB-1BEB-4B0F-8DA0-1BB15E90074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3430" y="3575783"/>
          <a:ext cx="191256" cy="5358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C60BF534-1D2D-41F6-9ADD-24EEAE2C6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220170</xdr:colOff>
      <xdr:row>49</xdr:row>
      <xdr:rowOff>105103</xdr:rowOff>
    </xdr:from>
    <xdr:to>
      <xdr:col>11</xdr:col>
      <xdr:colOff>183698</xdr:colOff>
      <xdr:row>55</xdr:row>
      <xdr:rowOff>74264</xdr:rowOff>
    </xdr:to>
    <xdr:graphicFrame macro="">
      <xdr:nvGraphicFramePr>
        <xdr:cNvPr id="39" name="Chart 15">
          <a:extLst>
            <a:ext uri="{FF2B5EF4-FFF2-40B4-BE49-F238E27FC236}">
              <a16:creationId xmlns:a16="http://schemas.microsoft.com/office/drawing/2014/main" id="{6B8226EE-0B26-485D-B4B8-079B28608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227634</xdr:colOff>
      <xdr:row>14</xdr:row>
      <xdr:rowOff>183649</xdr:rowOff>
    </xdr:from>
    <xdr:to>
      <xdr:col>11</xdr:col>
      <xdr:colOff>14378</xdr:colOff>
      <xdr:row>22</xdr:row>
      <xdr:rowOff>102408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DD756235-BE0C-4EB3-982C-FF1FD39D30F9}"/>
            </a:ext>
          </a:extLst>
        </xdr:cNvPr>
        <xdr:cNvSpPr/>
      </xdr:nvSpPr>
      <xdr:spPr>
        <a:xfrm>
          <a:off x="4530306" y="2206890"/>
          <a:ext cx="666986" cy="1127449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264361</xdr:colOff>
      <xdr:row>2</xdr:row>
      <xdr:rowOff>26905</xdr:rowOff>
    </xdr:from>
    <xdr:to>
      <xdr:col>4</xdr:col>
      <xdr:colOff>545449</xdr:colOff>
      <xdr:row>7</xdr:row>
      <xdr:rowOff>151673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4293EC1-D48F-4C49-81EE-B3FAD87F7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0164" y="277563"/>
          <a:ext cx="1273693" cy="9218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464493</xdr:colOff>
      <xdr:row>6</xdr:row>
      <xdr:rowOff>77270</xdr:rowOff>
    </xdr:from>
    <xdr:to>
      <xdr:col>11</xdr:col>
      <xdr:colOff>226717</xdr:colOff>
      <xdr:row>7</xdr:row>
      <xdr:rowOff>134879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A0526C-CC47-4B3D-9E21-D424BDD7A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16440" y="989665"/>
          <a:ext cx="388869" cy="1929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55E66A3-3999-4A0E-9D1B-0CD2254C36AF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64E2E78F-2322-4253-A2E0-FBF809473818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1927</xdr:colOff>
      <xdr:row>14</xdr:row>
      <xdr:rowOff>190499</xdr:rowOff>
    </xdr:from>
    <xdr:to>
      <xdr:col>11</xdr:col>
      <xdr:colOff>29253</xdr:colOff>
      <xdr:row>22</xdr:row>
      <xdr:rowOff>119742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E7771B7-DD35-41D7-A4AD-1DEC45C4FA59}"/>
            </a:ext>
          </a:extLst>
        </xdr:cNvPr>
        <xdr:cNvSpPr/>
      </xdr:nvSpPr>
      <xdr:spPr>
        <a:xfrm>
          <a:off x="4557598" y="2209799"/>
          <a:ext cx="658698" cy="120287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8D711C6D-7ADF-4C66-9D26-CABFB1745DC4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6BDB60D-7FAC-4678-898D-23F1DAD05B68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686ED1A-623B-40AB-B059-4B69BC8C6830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C0350D8-954C-4AC1-8077-F124A7EC8482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DCBD3296-9787-4AA4-BC08-D2EEBB9D504A}"/>
            </a:ext>
          </a:extLst>
        </xdr:cNvPr>
        <xdr:cNvSpPr/>
      </xdr:nvSpPr>
      <xdr:spPr>
        <a:xfrm>
          <a:off x="3190480" y="46760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F1F5F22-7BF8-44FF-B49C-27501EF2CBCF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B304D170-0680-40F1-B4B3-DFA6793D20BE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69B390B8-E13F-4C09-ACFE-EFAF83D6CF3C}"/>
            </a:ext>
          </a:extLst>
        </xdr:cNvPr>
        <xdr:cNvSpPr/>
      </xdr:nvSpPr>
      <xdr:spPr>
        <a:xfrm>
          <a:off x="2479484" y="6620364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1EFDBE64-678F-475A-B602-D5DDA5BB80E6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D6DB9DA3-B602-4C43-899C-0830F7BEE470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98913B31-9F8D-4D48-A5C5-AB18E9FA9088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5C3A43C-CF10-45A0-B7D9-C725539D44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027" y="1229600"/>
          <a:ext cx="169001" cy="5348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7A3E5848-9CEC-446C-8E2F-1436E0398E33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1E24F793-EEB7-4E22-8C73-9EE1C8402E62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2321DEEC-D990-4049-86AF-A0CAC24660EC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4033F083-B2B6-46F1-9673-9B280412D955}"/>
            </a:ext>
          </a:extLst>
        </xdr:cNvPr>
        <xdr:cNvSpPr/>
      </xdr:nvSpPr>
      <xdr:spPr>
        <a:xfrm>
          <a:off x="3189652" y="4739726"/>
          <a:ext cx="2259881" cy="80087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47227398-9D60-48D5-9755-2DAC4421AA97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3E2B2B5A-CDA4-43DE-A624-8E92E0E8BE84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104132</xdr:rowOff>
    </xdr:from>
    <xdr:to>
      <xdr:col>11</xdr:col>
      <xdr:colOff>179079</xdr:colOff>
      <xdr:row>48</xdr:row>
      <xdr:rowOff>112185</xdr:rowOff>
    </xdr:to>
    <xdr:graphicFrame macro="">
      <xdr:nvGraphicFramePr>
        <xdr:cNvPr id="40" name="Chart 15">
          <a:extLst>
            <a:ext uri="{FF2B5EF4-FFF2-40B4-BE49-F238E27FC236}">
              <a16:creationId xmlns:a16="http://schemas.microsoft.com/office/drawing/2014/main" id="{A11447C1-6C64-4D08-BE98-AED72B5B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135386</xdr:colOff>
      <xdr:row>34</xdr:row>
      <xdr:rowOff>67628</xdr:rowOff>
    </xdr:from>
    <xdr:to>
      <xdr:col>6</xdr:col>
      <xdr:colOff>42590</xdr:colOff>
      <xdr:row>41</xdr:row>
      <xdr:rowOff>138308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B5BCA3CC-65D4-4721-AE2A-68C53FCC1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30E1AD7-CF17-44E1-9DD6-450BFD96AA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8954" y="3603260"/>
          <a:ext cx="188050" cy="5366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30" name="Chart 17">
          <a:extLst>
            <a:ext uri="{FF2B5EF4-FFF2-40B4-BE49-F238E27FC236}">
              <a16:creationId xmlns:a16="http://schemas.microsoft.com/office/drawing/2014/main" id="{FAE7FEFF-87D7-4AF1-89C0-59F6D20FC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44" name="Chart 15">
          <a:extLst>
            <a:ext uri="{FF2B5EF4-FFF2-40B4-BE49-F238E27FC236}">
              <a16:creationId xmlns:a16="http://schemas.microsoft.com/office/drawing/2014/main" id="{AD155CD9-36E6-4794-8EB9-B8B066ED6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244929</xdr:colOff>
      <xdr:row>2</xdr:row>
      <xdr:rowOff>24946</xdr:rowOff>
    </xdr:from>
    <xdr:to>
      <xdr:col>4</xdr:col>
      <xdr:colOff>515322</xdr:colOff>
      <xdr:row>7</xdr:row>
      <xdr:rowOff>152149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28AD4A7-4444-4B72-A09E-83ECC5D9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9729" y="264432"/>
          <a:ext cx="1260993" cy="921860"/>
        </a:xfrm>
        <a:prstGeom prst="rect">
          <a:avLst/>
        </a:prstGeom>
      </xdr:spPr>
    </xdr:pic>
    <xdr:clientData/>
  </xdr:twoCellAnchor>
  <xdr:twoCellAnchor editAs="oneCell">
    <xdr:from>
      <xdr:col>10</xdr:col>
      <xdr:colOff>440334</xdr:colOff>
      <xdr:row>6</xdr:row>
      <xdr:rowOff>72113</xdr:rowOff>
    </xdr:from>
    <xdr:to>
      <xdr:col>11</xdr:col>
      <xdr:colOff>197831</xdr:colOff>
      <xdr:row>7</xdr:row>
      <xdr:rowOff>132180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96662C7-B4F0-4163-937F-38B730B45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6005" y="970184"/>
          <a:ext cx="392044" cy="1961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0796DFE-3B44-474C-A387-DC55124AD9D3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5A02589D-D640-4673-9F0A-46D076EA079A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10125</xdr:colOff>
      <xdr:row>14</xdr:row>
      <xdr:rowOff>190500</xdr:rowOff>
    </xdr:from>
    <xdr:to>
      <xdr:col>11</xdr:col>
      <xdr:colOff>26986</xdr:colOff>
      <xdr:row>22</xdr:row>
      <xdr:rowOff>116159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EE71D72-45B6-445B-B024-85AD4C6E497E}"/>
            </a:ext>
          </a:extLst>
        </xdr:cNvPr>
        <xdr:cNvSpPr/>
      </xdr:nvSpPr>
      <xdr:spPr>
        <a:xfrm>
          <a:off x="4558893" y="2211659"/>
          <a:ext cx="644117" cy="1198756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1BECD038-5811-4172-BE85-1A29CD71657A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DCE5DF7-4AF3-4110-85F2-816D94A427C3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89F55F2-020A-4E88-B456-15812E902BF3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41D95CB3-3EA6-4FC0-B38F-EB2DA4785C61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EDB89DB-E2E1-4D20-A5FA-D493D8BDF307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C1BD52F6-E093-4DB8-B4EA-2AFA6EBD80DE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90BF2771-BFA3-4CC1-9863-A8D308065870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8C4BDF79-B917-477A-9B9B-1C9BBC988D48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89E2FBE-6E2B-4336-9E4F-0B9FE907F525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15352148-CE46-4B7A-A086-5BAF26317891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B6616C4-295A-4774-99F1-86D3D43FA518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99F4D25-00BC-4FC5-8976-5C5B0B6442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F1902883-6F97-42FE-A296-70E4DA8F84A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91ECC1D4-013D-4829-8FC8-8688261FCFF3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FD7923E3-E983-4F2C-BEDF-E676D9D3961C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7441744-DD85-499D-B94D-BE2757E2BB6F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91C8FCF8-AC02-42B3-BFB2-91067C79DD9C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215B632C-D646-4071-9574-4A9976ED0C62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58" name="Chart 15">
          <a:extLst>
            <a:ext uri="{FF2B5EF4-FFF2-40B4-BE49-F238E27FC236}">
              <a16:creationId xmlns:a16="http://schemas.microsoft.com/office/drawing/2014/main" id="{D59D4F75-5C0C-4F18-BA4B-E89A645F3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A9D4AF93-CBC7-4737-B407-B1F8E5A66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5AA3BC4-2609-436B-BD88-7124DF1610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46" name="Chart 17">
          <a:extLst>
            <a:ext uri="{FF2B5EF4-FFF2-40B4-BE49-F238E27FC236}">
              <a16:creationId xmlns:a16="http://schemas.microsoft.com/office/drawing/2014/main" id="{5238A778-707F-4713-BCDB-965694400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62" name="Chart 15">
          <a:extLst>
            <a:ext uri="{FF2B5EF4-FFF2-40B4-BE49-F238E27FC236}">
              <a16:creationId xmlns:a16="http://schemas.microsoft.com/office/drawing/2014/main" id="{1CE14A1F-0230-4D39-919D-B5670832A8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200025</xdr:colOff>
      <xdr:row>2</xdr:row>
      <xdr:rowOff>9292</xdr:rowOff>
    </xdr:from>
    <xdr:to>
      <xdr:col>4</xdr:col>
      <xdr:colOff>477698</xdr:colOff>
      <xdr:row>7</xdr:row>
      <xdr:rowOff>133453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A4493DA-588C-4525-8A31-C293F111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6684" y="250902"/>
          <a:ext cx="1267343" cy="918685"/>
        </a:xfrm>
        <a:prstGeom prst="rect">
          <a:avLst/>
        </a:prstGeom>
      </xdr:spPr>
    </xdr:pic>
    <xdr:clientData/>
  </xdr:twoCellAnchor>
  <xdr:twoCellAnchor editAs="oneCell">
    <xdr:from>
      <xdr:col>10</xdr:col>
      <xdr:colOff>401017</xdr:colOff>
      <xdr:row>6</xdr:row>
      <xdr:rowOff>58439</xdr:rowOff>
    </xdr:from>
    <xdr:to>
      <xdr:col>11</xdr:col>
      <xdr:colOff>172155</xdr:colOff>
      <xdr:row>7</xdr:row>
      <xdr:rowOff>116659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F194398-796A-49D6-BD7E-E4607507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49785" y="959829"/>
          <a:ext cx="398394" cy="1929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794358B-5A44-4410-BC43-D4B5231E02D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3098838B-BA13-4C5B-858D-BD43E244CD44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A942B907-AFF7-4DB3-9572-312243EF8668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8E49357E-14FA-48D6-8973-9EB1FB1FBA36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6F998B8B-026C-46F9-8652-07D0B5AC036A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50A25C-EB4D-46D2-BB28-B9533DFB45B2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1EDFF42-B1E1-4A07-B131-C630862D8366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E7D6A668-D933-45C3-A96F-276983B98DAC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BEC37BE-D60D-4E70-93E2-B8BA29FA1364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64FDC8B1-463E-47ED-BEC0-70760C1741A3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F1BF6EF7-C25D-4599-83F0-7A8F1DF481FD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3218B2A-6E54-4422-B284-8F7DF27874A9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5724</xdr:colOff>
      <xdr:row>14</xdr:row>
      <xdr:rowOff>180472</xdr:rowOff>
    </xdr:from>
    <xdr:to>
      <xdr:col>11</xdr:col>
      <xdr:colOff>21973</xdr:colOff>
      <xdr:row>22</xdr:row>
      <xdr:rowOff>20052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E8DFDA17-5375-4E33-86A0-6DA9F964C13D}"/>
            </a:ext>
          </a:extLst>
        </xdr:cNvPr>
        <xdr:cNvSpPr/>
      </xdr:nvSpPr>
      <xdr:spPr>
        <a:xfrm>
          <a:off x="4557671" y="2200775"/>
          <a:ext cx="642894" cy="111292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DEAA8A8-387D-43DA-BB17-75E9BE2DFD59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6350</xdr:colOff>
      <xdr:row>26</xdr:row>
      <xdr:rowOff>83165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661AC6F-F2B4-46BE-AD8B-1072DC21B6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822CC2C-F0B0-44A4-8BE4-0245C6C2E491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774AACEA-2812-4EEB-BD16-4D72EF9F02D3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9136C78B-75BB-45C2-8000-15E27EEE661A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89377935-5AD1-4029-B5EA-59A0D1765814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219CC68D-BA77-490B-9232-C9364B386DD0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1BC68DCA-1A93-4AF7-856C-699BE691BE35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FBC4FE89-CB1A-4D85-B561-7295731F3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105542</xdr:colOff>
      <xdr:row>33</xdr:row>
      <xdr:rowOff>168789</xdr:rowOff>
    </xdr:from>
    <xdr:to>
      <xdr:col>6</xdr:col>
      <xdr:colOff>266699</xdr:colOff>
      <xdr:row>41</xdr:row>
      <xdr:rowOff>56680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C7540391-94C7-44C2-AF7A-36DE0538C1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8733</xdr:colOff>
      <xdr:row>42</xdr:row>
      <xdr:rowOff>83958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0FA39F3-B66A-4AFF-9D6A-7B2B18F851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56" name="Chart 17">
          <a:extLst>
            <a:ext uri="{FF2B5EF4-FFF2-40B4-BE49-F238E27FC236}">
              <a16:creationId xmlns:a16="http://schemas.microsoft.com/office/drawing/2014/main" id="{702F69FA-D577-4DA0-9F99-545ACE6E4F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63" name="Chart 15">
          <a:extLst>
            <a:ext uri="{FF2B5EF4-FFF2-40B4-BE49-F238E27FC236}">
              <a16:creationId xmlns:a16="http://schemas.microsoft.com/office/drawing/2014/main" id="{91BCB40A-6EB2-48B8-A6E2-18BAC3072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175460</xdr:colOff>
      <xdr:row>2</xdr:row>
      <xdr:rowOff>36929</xdr:rowOff>
    </xdr:from>
    <xdr:to>
      <xdr:col>4</xdr:col>
      <xdr:colOff>440673</xdr:colOff>
      <xdr:row>7</xdr:row>
      <xdr:rowOff>155347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FDA8C8-9AAB-4978-A131-AA668DF14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1263" y="277561"/>
          <a:ext cx="1257818" cy="915510"/>
        </a:xfrm>
        <a:prstGeom prst="rect">
          <a:avLst/>
        </a:prstGeom>
      </xdr:spPr>
    </xdr:pic>
    <xdr:clientData/>
  </xdr:twoCellAnchor>
  <xdr:twoCellAnchor editAs="oneCell">
    <xdr:from>
      <xdr:col>10</xdr:col>
      <xdr:colOff>372417</xdr:colOff>
      <xdr:row>6</xdr:row>
      <xdr:rowOff>87295</xdr:rowOff>
    </xdr:from>
    <xdr:to>
      <xdr:col>11</xdr:col>
      <xdr:colOff>131466</xdr:colOff>
      <xdr:row>7</xdr:row>
      <xdr:rowOff>144903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D9D1B92-CD70-4DCA-8B24-BB078798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4364" y="989663"/>
          <a:ext cx="385694" cy="1929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DC237E0-B94C-4F51-8660-FFE470100322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C5D0C31-F51C-4BF9-B925-F2B735A32EDC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12074</xdr:colOff>
      <xdr:row>14</xdr:row>
      <xdr:rowOff>195513</xdr:rowOff>
    </xdr:from>
    <xdr:to>
      <xdr:col>11</xdr:col>
      <xdr:colOff>21973</xdr:colOff>
      <xdr:row>22</xdr:row>
      <xdr:rowOff>23728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0021463-577C-4421-AB67-BE5412A0198A}"/>
            </a:ext>
          </a:extLst>
        </xdr:cNvPr>
        <xdr:cNvSpPr/>
      </xdr:nvSpPr>
      <xdr:spPr>
        <a:xfrm>
          <a:off x="4564021" y="2215816"/>
          <a:ext cx="636544" cy="1101557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C9D51C3-8FBB-4325-9B1D-F45601667C4B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26FD732F-CE2E-4422-ADD0-21EBD5FC6E9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14DFCA0-3601-4F0C-8C54-A6A9F001AE30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EF8FB4C-272A-4345-A413-1830A4E7A92A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750A36F-F2B3-463F-8F39-12A0FEE802ED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4B5BD25-086D-4BC7-BA95-F42573220C15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EE9A04DA-4A5C-4928-B852-5CBAE5D0C13D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21051E4-59B0-4CCF-B8E9-B17F7B43E024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80A5A69C-8095-4528-B205-14E16FE809D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2730E6F1-5EDA-4E8B-B414-55C19D7A1D8E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F91D59F7-798E-4371-95B4-6E1E87A6036D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AA0489-399F-4288-9CCB-73B49C4D97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7DB2ED8F-0930-4AC9-9A6C-FBF0E30237A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F5A7DC6C-F5CB-420C-8B7B-F7E06C995991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8F5B2162-C113-4C23-AFBE-C512192F4D5D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CDF3FF0C-DA71-4D25-AEF5-5886137CABA5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AB7AC36C-BC92-44A7-8591-8ABC8698EA64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00954FB7-F9FF-4CB1-A3B0-9A32E8B42F55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576975E3-7350-4A34-8568-AF99AC041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6425</xdr:colOff>
      <xdr:row>33</xdr:row>
      <xdr:rowOff>154753</xdr:rowOff>
    </xdr:from>
    <xdr:to>
      <xdr:col>6</xdr:col>
      <xdr:colOff>118477</xdr:colOff>
      <xdr:row>41</xdr:row>
      <xdr:rowOff>44960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B4F6AEBC-4B76-4E72-B4F7-0E8FC9775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444102-C60C-4D37-AE8D-405F42569D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46" name="Chart 17">
          <a:extLst>
            <a:ext uri="{FF2B5EF4-FFF2-40B4-BE49-F238E27FC236}">
              <a16:creationId xmlns:a16="http://schemas.microsoft.com/office/drawing/2014/main" id="{A088F0A6-1F8B-4C53-8C6C-507951BAF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31" name="Chart 15">
          <a:extLst>
            <a:ext uri="{FF2B5EF4-FFF2-40B4-BE49-F238E27FC236}">
              <a16:creationId xmlns:a16="http://schemas.microsoft.com/office/drawing/2014/main" id="{0D196CA4-4813-4697-89C9-3306D2B46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245644</xdr:colOff>
      <xdr:row>2</xdr:row>
      <xdr:rowOff>26903</xdr:rowOff>
    </xdr:from>
    <xdr:to>
      <xdr:col>4</xdr:col>
      <xdr:colOff>504507</xdr:colOff>
      <xdr:row>7</xdr:row>
      <xdr:rowOff>145321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C25F3CC-0303-4DB1-9513-2453F6EA3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1447" y="267535"/>
          <a:ext cx="1257818" cy="915510"/>
        </a:xfrm>
        <a:prstGeom prst="rect">
          <a:avLst/>
        </a:prstGeom>
      </xdr:spPr>
    </xdr:pic>
    <xdr:clientData/>
  </xdr:twoCellAnchor>
  <xdr:twoCellAnchor editAs="oneCell">
    <xdr:from>
      <xdr:col>10</xdr:col>
      <xdr:colOff>442601</xdr:colOff>
      <xdr:row>6</xdr:row>
      <xdr:rowOff>77269</xdr:rowOff>
    </xdr:from>
    <xdr:to>
      <xdr:col>11</xdr:col>
      <xdr:colOff>201650</xdr:colOff>
      <xdr:row>7</xdr:row>
      <xdr:rowOff>134877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A8F145-7EC8-4EF6-A0E0-A396EEC6A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4548" y="979637"/>
          <a:ext cx="385694" cy="1929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9B91DE8-3BA0-4B77-B6F7-D5D095F70A73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AB73C05-BD59-4D37-AF9A-E024C4FBAEE6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240216</xdr:colOff>
      <xdr:row>14</xdr:row>
      <xdr:rowOff>178666</xdr:rowOff>
    </xdr:from>
    <xdr:to>
      <xdr:col>11</xdr:col>
      <xdr:colOff>23521</xdr:colOff>
      <xdr:row>22</xdr:row>
      <xdr:rowOff>30879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1931F76-2AC1-4E2E-93E2-50B574583D36}"/>
            </a:ext>
          </a:extLst>
        </xdr:cNvPr>
        <xdr:cNvSpPr/>
      </xdr:nvSpPr>
      <xdr:spPr>
        <a:xfrm>
          <a:off x="4543784" y="2191905"/>
          <a:ext cx="657873" cy="1120769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C49E0FB-76B5-489B-A4DC-C69D4009DB2E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F335DF70-BFD2-4087-A0DD-26398AC432EE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2F3946BA-4ABD-40DE-8546-B88535D63B86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86994AEA-6E6F-4A5F-81F2-60528F4DFD62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EEE0705-316B-46DB-904A-8AC567717EBE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1618D858-8EFD-461F-A60D-4C95D33E57AA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775EE205-6B7D-4464-9832-4AE06D9F3228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9B1A65F-B1A3-4F77-8394-D17CC7E3F838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02D28967-E849-4F65-A4EA-BCAF84C4E266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A7E19660-2DDD-4E22-9639-86706EA41AFA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100691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7DA7C838-000E-481F-B447-FA6C7ECFA020}"/>
            </a:ext>
          </a:extLst>
        </xdr:cNvPr>
        <xdr:cNvSpPr/>
      </xdr:nvSpPr>
      <xdr:spPr>
        <a:xfrm>
          <a:off x="2115207" y="1436381"/>
          <a:ext cx="216354" cy="413532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6350</xdr:colOff>
      <xdr:row>26</xdr:row>
      <xdr:rowOff>83165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B9243E-A325-42FC-82D7-2E09C8F274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FED8B02F-BC83-48C1-894A-B6D02938713C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241E6E84-EC1D-43FD-8AD6-06CEFCF3F847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9BA8B858-33D7-439A-8139-5B2EA70E5D3B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AE97F531-F4E9-43A5-9F2A-0D9E71189DC6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37</xdr:row>
      <xdr:rowOff>1808</xdr:rowOff>
    </xdr:from>
    <xdr:to>
      <xdr:col>9</xdr:col>
      <xdr:colOff>12302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62B78E6E-E418-47E6-92AA-4691302B1D9B}"/>
            </a:ext>
          </a:extLst>
        </xdr:cNvPr>
        <xdr:cNvSpPr/>
      </xdr:nvSpPr>
      <xdr:spPr>
        <a:xfrm>
          <a:off x="3202000" y="5466777"/>
          <a:ext cx="1120365" cy="683699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EB241A44-8D13-4F18-9AE9-9F148BB6AD22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3268E729-26C2-4FC8-8E7A-4E8D64FAE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102541</xdr:colOff>
      <xdr:row>34</xdr:row>
      <xdr:rowOff>41352</xdr:rowOff>
    </xdr:from>
    <xdr:to>
      <xdr:col>6</xdr:col>
      <xdr:colOff>220170</xdr:colOff>
      <xdr:row>41</xdr:row>
      <xdr:rowOff>108857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447C7B2C-7101-4E57-B265-4AAAC17A3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50169</xdr:rowOff>
    </xdr:from>
    <xdr:to>
      <xdr:col>13</xdr:col>
      <xdr:colOff>8733</xdr:colOff>
      <xdr:row>42</xdr:row>
      <xdr:rowOff>83958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FECC3A8-4828-40F2-8DB0-B4B112F4C5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4949" y="3626112"/>
          <a:ext cx="187118" cy="5357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CFB0614B-BB3C-4162-A74D-1E689CF98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216995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28" name="Chart 15">
          <a:extLst>
            <a:ext uri="{FF2B5EF4-FFF2-40B4-BE49-F238E27FC236}">
              <a16:creationId xmlns:a16="http://schemas.microsoft.com/office/drawing/2014/main" id="{0A898081-339F-403E-8EEC-08A5201AD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250371</xdr:colOff>
      <xdr:row>2</xdr:row>
      <xdr:rowOff>24946</xdr:rowOff>
    </xdr:from>
    <xdr:to>
      <xdr:col>4</xdr:col>
      <xdr:colOff>523939</xdr:colOff>
      <xdr:row>7</xdr:row>
      <xdr:rowOff>152149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3F46F7-7D7F-40EC-A34F-0CFD774CC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171" y="264432"/>
          <a:ext cx="1260993" cy="921860"/>
        </a:xfrm>
        <a:prstGeom prst="rect">
          <a:avLst/>
        </a:prstGeom>
      </xdr:spPr>
    </xdr:pic>
    <xdr:clientData/>
  </xdr:twoCellAnchor>
  <xdr:twoCellAnchor editAs="oneCell">
    <xdr:from>
      <xdr:col>10</xdr:col>
      <xdr:colOff>445776</xdr:colOff>
      <xdr:row>6</xdr:row>
      <xdr:rowOff>72113</xdr:rowOff>
    </xdr:from>
    <xdr:to>
      <xdr:col>11</xdr:col>
      <xdr:colOff>206448</xdr:colOff>
      <xdr:row>7</xdr:row>
      <xdr:rowOff>132180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B5E0B5-F5D9-46BB-A9F1-9E374CDF3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01447" y="970184"/>
          <a:ext cx="392044" cy="19613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59204</xdr:colOff>
      <xdr:row>18</xdr:row>
      <xdr:rowOff>137643</xdr:rowOff>
    </xdr:from>
    <xdr:to>
      <xdr:col>9</xdr:col>
      <xdr:colOff>568326</xdr:colOff>
      <xdr:row>23</xdr:row>
      <xdr:rowOff>33616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FC4D1B46-7DFF-7BAC-02BA-D9B9022A151F}"/>
            </a:ext>
          </a:extLst>
        </xdr:cNvPr>
        <xdr:cNvSpPr/>
      </xdr:nvSpPr>
      <xdr:spPr>
        <a:xfrm>
          <a:off x="3689910" y="3891614"/>
          <a:ext cx="2178798" cy="79244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311727</xdr:colOff>
      <xdr:row>9</xdr:row>
      <xdr:rowOff>69273</xdr:rowOff>
    </xdr:from>
    <xdr:to>
      <xdr:col>18</xdr:col>
      <xdr:colOff>426342</xdr:colOff>
      <xdr:row>51</xdr:row>
      <xdr:rowOff>107411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945A33-F5BE-D4F2-786C-6743B996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3091" y="1956955"/>
          <a:ext cx="4960530" cy="7464464"/>
        </a:xfrm>
        <a:prstGeom prst="rect">
          <a:avLst/>
        </a:prstGeom>
      </xdr:spPr>
    </xdr:pic>
    <xdr:clientData/>
  </xdr:twoCellAnchor>
  <xdr:twoCellAnchor editAs="oneCell">
    <xdr:from>
      <xdr:col>0</xdr:col>
      <xdr:colOff>422649</xdr:colOff>
      <xdr:row>9</xdr:row>
      <xdr:rowOff>134471</xdr:rowOff>
    </xdr:from>
    <xdr:to>
      <xdr:col>5</xdr:col>
      <xdr:colOff>292299</xdr:colOff>
      <xdr:row>43</xdr:row>
      <xdr:rowOff>35651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D06F31-FCCD-3346-01EE-CCD713C0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2649" y="2061883"/>
          <a:ext cx="2898413" cy="61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9B605CAF-E8F1-40DC-897E-0426BCAEE77C}"/>
            </a:ext>
          </a:extLst>
        </xdr:cNvPr>
        <xdr:cNvSpPr/>
      </xdr:nvSpPr>
      <xdr:spPr>
        <a:xfrm>
          <a:off x="697707" y="2007053"/>
          <a:ext cx="12858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816E6396-B35F-47C2-99B0-FAB8D4AE19A5}"/>
            </a:ext>
          </a:extLst>
        </xdr:cNvPr>
        <xdr:cNvSpPr/>
      </xdr:nvSpPr>
      <xdr:spPr>
        <a:xfrm>
          <a:off x="2420937" y="1582340"/>
          <a:ext cx="1743869" cy="22009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25C7FBD6-AD88-4539-B605-CC07E13407E0}"/>
            </a:ext>
          </a:extLst>
        </xdr:cNvPr>
        <xdr:cNvSpPr/>
      </xdr:nvSpPr>
      <xdr:spPr>
        <a:xfrm>
          <a:off x="4402931" y="2079624"/>
          <a:ext cx="653255" cy="160536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56E4048-29EC-4762-9F6E-DB775C93487E}"/>
            </a:ext>
          </a:extLst>
        </xdr:cNvPr>
        <xdr:cNvSpPr/>
      </xdr:nvSpPr>
      <xdr:spPr>
        <a:xfrm>
          <a:off x="1971675" y="1561191"/>
          <a:ext cx="219529" cy="36557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70677E9-C050-4AA6-80D6-A082368D1F80}"/>
            </a:ext>
          </a:extLst>
        </xdr:cNvPr>
        <xdr:cNvSpPr/>
      </xdr:nvSpPr>
      <xdr:spPr>
        <a:xfrm rot="10800000">
          <a:off x="2231515" y="405129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F6772C1-5171-4524-93D4-A4C4C0FD54B8}"/>
            </a:ext>
          </a:extLst>
        </xdr:cNvPr>
        <xdr:cNvSpPr/>
      </xdr:nvSpPr>
      <xdr:spPr>
        <a:xfrm>
          <a:off x="693245" y="4068083"/>
          <a:ext cx="12986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F903996A-D8A2-4DED-A9A5-4B59113C2FD0}"/>
            </a:ext>
          </a:extLst>
        </xdr:cNvPr>
        <xdr:cNvSpPr/>
      </xdr:nvSpPr>
      <xdr:spPr>
        <a:xfrm>
          <a:off x="1094459" y="5142115"/>
          <a:ext cx="3606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E76B996F-79B6-4C87-BC07-E213DC4D9C43}"/>
            </a:ext>
          </a:extLst>
        </xdr:cNvPr>
        <xdr:cNvSpPr/>
      </xdr:nvSpPr>
      <xdr:spPr>
        <a:xfrm>
          <a:off x="3038080" y="461893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96CA252-3AFC-4365-B91A-C685F456CCAB}"/>
            </a:ext>
          </a:extLst>
        </xdr:cNvPr>
        <xdr:cNvSpPr/>
      </xdr:nvSpPr>
      <xdr:spPr>
        <a:xfrm>
          <a:off x="3046028" y="567037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B716204-3B90-4A4C-8FD1-3285392A5E0C}"/>
            </a:ext>
          </a:extLst>
        </xdr:cNvPr>
        <xdr:cNvSpPr/>
      </xdr:nvSpPr>
      <xdr:spPr>
        <a:xfrm>
          <a:off x="4400995" y="567723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358803</xdr:colOff>
      <xdr:row>42</xdr:row>
      <xdr:rowOff>48114</xdr:rowOff>
    </xdr:from>
    <xdr:to>
      <xdr:col>6</xdr:col>
      <xdr:colOff>170413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646AFEC-6EAD-4D9F-9C1F-546991F89F86}"/>
            </a:ext>
          </a:extLst>
        </xdr:cNvPr>
        <xdr:cNvSpPr/>
      </xdr:nvSpPr>
      <xdr:spPr>
        <a:xfrm>
          <a:off x="2330478" y="6560039"/>
          <a:ext cx="268810" cy="44978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44451</xdr:colOff>
      <xdr:row>48</xdr:row>
      <xdr:rowOff>42689</xdr:rowOff>
    </xdr:from>
    <xdr:to>
      <xdr:col>5</xdr:col>
      <xdr:colOff>435428</xdr:colOff>
      <xdr:row>55</xdr:row>
      <xdr:rowOff>132863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984B88D-0F5C-4BC6-AF83-1A0DAD22B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658EE973-1C87-4BCD-A068-BDA707136774}"/>
            </a:ext>
          </a:extLst>
        </xdr:cNvPr>
        <xdr:cNvSpPr/>
      </xdr:nvSpPr>
      <xdr:spPr>
        <a:xfrm>
          <a:off x="697707" y="2007053"/>
          <a:ext cx="12858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951B24BB-D19C-49D2-B8D1-3AE4B5F4B692}"/>
            </a:ext>
          </a:extLst>
        </xdr:cNvPr>
        <xdr:cNvSpPr/>
      </xdr:nvSpPr>
      <xdr:spPr>
        <a:xfrm>
          <a:off x="2559415" y="1609938"/>
          <a:ext cx="1741183" cy="2185537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3E5FD480-DC31-4042-A52E-402C1856107E}"/>
            </a:ext>
          </a:extLst>
        </xdr:cNvPr>
        <xdr:cNvSpPr/>
      </xdr:nvSpPr>
      <xdr:spPr>
        <a:xfrm>
          <a:off x="4402931" y="2079624"/>
          <a:ext cx="653255" cy="160536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E3EF203-4A4A-438C-88A7-53433ABD292D}"/>
            </a:ext>
          </a:extLst>
        </xdr:cNvPr>
        <xdr:cNvSpPr/>
      </xdr:nvSpPr>
      <xdr:spPr>
        <a:xfrm>
          <a:off x="1971675" y="1561191"/>
          <a:ext cx="219529" cy="36557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195798</xdr:colOff>
      <xdr:row>25</xdr:row>
      <xdr:rowOff>97877</xdr:rowOff>
    </xdr:from>
    <xdr:to>
      <xdr:col>11</xdr:col>
      <xdr:colOff>218769</xdr:colOff>
      <xdr:row>26</xdr:row>
      <xdr:rowOff>86122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0D4E19-8CED-40C3-ADF8-7C42353BA1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08467" y="1360283"/>
          <a:ext cx="175569" cy="519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9D21C72D-F48A-4B66-9365-9083FAADCA06}"/>
            </a:ext>
          </a:extLst>
        </xdr:cNvPr>
        <xdr:cNvSpPr/>
      </xdr:nvSpPr>
      <xdr:spPr>
        <a:xfrm rot="10800000">
          <a:off x="2231515" y="405129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99B5C92D-060A-4757-8280-778C2C14B4A8}"/>
            </a:ext>
          </a:extLst>
        </xdr:cNvPr>
        <xdr:cNvSpPr/>
      </xdr:nvSpPr>
      <xdr:spPr>
        <a:xfrm>
          <a:off x="680149" y="4074036"/>
          <a:ext cx="1447435" cy="1054156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2" name="Arrow: Down 21">
          <a:extLst>
            <a:ext uri="{FF2B5EF4-FFF2-40B4-BE49-F238E27FC236}">
              <a16:creationId xmlns:a16="http://schemas.microsoft.com/office/drawing/2014/main" id="{D1EF19AB-4BC5-4FC1-AE03-C364677F592D}"/>
            </a:ext>
          </a:extLst>
        </xdr:cNvPr>
        <xdr:cNvSpPr/>
      </xdr:nvSpPr>
      <xdr:spPr>
        <a:xfrm>
          <a:off x="1094459" y="5142115"/>
          <a:ext cx="3606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4B778E22-ABD5-40A7-ACCC-77842937F633}"/>
            </a:ext>
          </a:extLst>
        </xdr:cNvPr>
        <xdr:cNvSpPr/>
      </xdr:nvSpPr>
      <xdr:spPr>
        <a:xfrm>
          <a:off x="3038080" y="461893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A28C57B3-0FB4-4302-AE87-AA74A47B06B7}"/>
            </a:ext>
          </a:extLst>
        </xdr:cNvPr>
        <xdr:cNvSpPr/>
      </xdr:nvSpPr>
      <xdr:spPr>
        <a:xfrm>
          <a:off x="3046028" y="567037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B3A5DA46-FAF5-40A4-A78C-187195ECF7B4}"/>
            </a:ext>
          </a:extLst>
        </xdr:cNvPr>
        <xdr:cNvSpPr/>
      </xdr:nvSpPr>
      <xdr:spPr>
        <a:xfrm>
          <a:off x="4400995" y="567723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44451</xdr:colOff>
      <xdr:row>48</xdr:row>
      <xdr:rowOff>42689</xdr:rowOff>
    </xdr:from>
    <xdr:to>
      <xdr:col>5</xdr:col>
      <xdr:colOff>435428</xdr:colOff>
      <xdr:row>55</xdr:row>
      <xdr:rowOff>132863</xdr:rowOff>
    </xdr:to>
    <xdr:graphicFrame macro="">
      <xdr:nvGraphicFramePr>
        <xdr:cNvPr id="26" name="Chart 14">
          <a:extLst>
            <a:ext uri="{FF2B5EF4-FFF2-40B4-BE49-F238E27FC236}">
              <a16:creationId xmlns:a16="http://schemas.microsoft.com/office/drawing/2014/main" id="{0DFB7976-2260-4767-8304-D550B6039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215551</xdr:colOff>
      <xdr:row>42</xdr:row>
      <xdr:rowOff>66566</xdr:rowOff>
    </xdr:from>
    <xdr:to>
      <xdr:col>11</xdr:col>
      <xdr:colOff>185429</xdr:colOff>
      <xdr:row>48</xdr:row>
      <xdr:rowOff>74619</xdr:rowOff>
    </xdr:to>
    <xdr:graphicFrame macro="">
      <xdr:nvGraphicFramePr>
        <xdr:cNvPr id="27" name="Chart 15">
          <a:extLst>
            <a:ext uri="{FF2B5EF4-FFF2-40B4-BE49-F238E27FC236}">
              <a16:creationId xmlns:a16="http://schemas.microsoft.com/office/drawing/2014/main" id="{2C72C33A-AD06-4CF1-A705-79AE83035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205185</xdr:colOff>
      <xdr:row>48</xdr:row>
      <xdr:rowOff>130965</xdr:rowOff>
    </xdr:from>
    <xdr:to>
      <xdr:col>11</xdr:col>
      <xdr:colOff>191327</xdr:colOff>
      <xdr:row>55</xdr:row>
      <xdr:rowOff>122083</xdr:rowOff>
    </xdr:to>
    <xdr:graphicFrame macro="">
      <xdr:nvGraphicFramePr>
        <xdr:cNvPr id="28" name="Chart 16">
          <a:extLst>
            <a:ext uri="{FF2B5EF4-FFF2-40B4-BE49-F238E27FC236}">
              <a16:creationId xmlns:a16="http://schemas.microsoft.com/office/drawing/2014/main" id="{30682547-6307-4EC2-B25A-F2D21CA1F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118820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32A250DF-9CF4-4F35-8223-A9C3F7526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189844</xdr:colOff>
      <xdr:row>41</xdr:row>
      <xdr:rowOff>82796</xdr:rowOff>
    </xdr:from>
    <xdr:to>
      <xdr:col>11</xdr:col>
      <xdr:colOff>215990</xdr:colOff>
      <xdr:row>42</xdr:row>
      <xdr:rowOff>77390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DE079D6-070E-4DAF-9726-1ABC2EA5F0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696164" y="3913776"/>
          <a:ext cx="178744" cy="5191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790408</xdr:colOff>
      <xdr:row>4</xdr:row>
      <xdr:rowOff>73270</xdr:rowOff>
    </xdr:from>
    <xdr:to>
      <xdr:col>5</xdr:col>
      <xdr:colOff>134158</xdr:colOff>
      <xdr:row>5</xdr:row>
      <xdr:rowOff>144300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4305DBA5-6907-9F66-EDD2-82F95C2B18EB}"/>
            </a:ext>
          </a:extLst>
        </xdr:cNvPr>
        <xdr:cNvSpPr txBox="1"/>
      </xdr:nvSpPr>
      <xdr:spPr>
        <a:xfrm>
          <a:off x="2084494" y="861546"/>
          <a:ext cx="171440" cy="16956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</a:t>
          </a:r>
        </a:p>
      </xdr:txBody>
    </xdr:sp>
    <xdr:clientData/>
  </xdr:twoCellAnchor>
  <xdr:twoCellAnchor>
    <xdr:from>
      <xdr:col>3</xdr:col>
      <xdr:colOff>564873</xdr:colOff>
      <xdr:row>14</xdr:row>
      <xdr:rowOff>29477</xdr:rowOff>
    </xdr:from>
    <xdr:to>
      <xdr:col>4</xdr:col>
      <xdr:colOff>310930</xdr:colOff>
      <xdr:row>16</xdr:row>
      <xdr:rowOff>35034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A3F2590A-D6E7-4984-AC29-C1ECEAB2D1B5}"/>
            </a:ext>
          </a:extLst>
        </xdr:cNvPr>
        <xdr:cNvSpPr txBox="1"/>
      </xdr:nvSpPr>
      <xdr:spPr>
        <a:xfrm>
          <a:off x="1243666" y="2105270"/>
          <a:ext cx="354781" cy="355902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</a:t>
          </a:r>
        </a:p>
      </xdr:txBody>
    </xdr:sp>
    <xdr:clientData/>
  </xdr:twoCellAnchor>
  <xdr:twoCellAnchor>
    <xdr:from>
      <xdr:col>3</xdr:col>
      <xdr:colOff>551760</xdr:colOff>
      <xdr:row>18</xdr:row>
      <xdr:rowOff>192943</xdr:rowOff>
    </xdr:from>
    <xdr:to>
      <xdr:col>4</xdr:col>
      <xdr:colOff>304167</xdr:colOff>
      <xdr:row>21</xdr:row>
      <xdr:rowOff>84444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67684AD-2BC2-4FD8-95EF-FD20D5387E62}"/>
            </a:ext>
          </a:extLst>
        </xdr:cNvPr>
        <xdr:cNvSpPr txBox="1"/>
      </xdr:nvSpPr>
      <xdr:spPr>
        <a:xfrm>
          <a:off x="1233164" y="2955193"/>
          <a:ext cx="360541" cy="36042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</a:t>
          </a:r>
        </a:p>
      </xdr:txBody>
    </xdr:sp>
    <xdr:clientData/>
  </xdr:twoCellAnchor>
  <xdr:twoCellAnchor>
    <xdr:from>
      <xdr:col>6</xdr:col>
      <xdr:colOff>110679</xdr:colOff>
      <xdr:row>12</xdr:row>
      <xdr:rowOff>26134</xdr:rowOff>
    </xdr:from>
    <xdr:to>
      <xdr:col>6</xdr:col>
      <xdr:colOff>471220</xdr:colOff>
      <xdr:row>14</xdr:row>
      <xdr:rowOff>206560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8EFEEAD-E020-4473-AE5D-6A5931040D90}"/>
            </a:ext>
          </a:extLst>
        </xdr:cNvPr>
        <xdr:cNvSpPr txBox="1"/>
      </xdr:nvSpPr>
      <xdr:spPr>
        <a:xfrm>
          <a:off x="2682429" y="1923807"/>
          <a:ext cx="360541" cy="363599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4</a:t>
          </a:r>
        </a:p>
      </xdr:txBody>
    </xdr:sp>
    <xdr:clientData/>
  </xdr:twoCellAnchor>
  <xdr:twoCellAnchor>
    <xdr:from>
      <xdr:col>6</xdr:col>
      <xdr:colOff>114009</xdr:colOff>
      <xdr:row>16</xdr:row>
      <xdr:rowOff>4295</xdr:rowOff>
    </xdr:from>
    <xdr:to>
      <xdr:col>6</xdr:col>
      <xdr:colOff>282069</xdr:colOff>
      <xdr:row>16</xdr:row>
      <xdr:rowOff>167400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7442ECB-3F26-4FF2-B8C9-C15ABEACD413}"/>
            </a:ext>
          </a:extLst>
        </xdr:cNvPr>
        <xdr:cNvSpPr txBox="1"/>
      </xdr:nvSpPr>
      <xdr:spPr>
        <a:xfrm>
          <a:off x="2697665" y="2415311"/>
          <a:ext cx="168060" cy="1631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5</a:t>
          </a:r>
        </a:p>
      </xdr:txBody>
    </xdr:sp>
    <xdr:clientData/>
  </xdr:twoCellAnchor>
  <xdr:twoCellAnchor>
    <xdr:from>
      <xdr:col>6</xdr:col>
      <xdr:colOff>143620</xdr:colOff>
      <xdr:row>18</xdr:row>
      <xdr:rowOff>129138</xdr:rowOff>
    </xdr:from>
    <xdr:to>
      <xdr:col>6</xdr:col>
      <xdr:colOff>500986</xdr:colOff>
      <xdr:row>21</xdr:row>
      <xdr:rowOff>14289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15409AE9-AE50-4CD4-BD2F-5CD8BD10A858}"/>
            </a:ext>
          </a:extLst>
        </xdr:cNvPr>
        <xdr:cNvSpPr txBox="1"/>
      </xdr:nvSpPr>
      <xdr:spPr>
        <a:xfrm>
          <a:off x="2727276" y="2873529"/>
          <a:ext cx="35736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8</a:t>
          </a:r>
        </a:p>
      </xdr:txBody>
    </xdr:sp>
    <xdr:clientData/>
  </xdr:twoCellAnchor>
  <xdr:twoCellAnchor>
    <xdr:from>
      <xdr:col>8</xdr:col>
      <xdr:colOff>176164</xdr:colOff>
      <xdr:row>18</xdr:row>
      <xdr:rowOff>155729</xdr:rowOff>
    </xdr:from>
    <xdr:to>
      <xdr:col>8</xdr:col>
      <xdr:colOff>539880</xdr:colOff>
      <xdr:row>21</xdr:row>
      <xdr:rowOff>40880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15CFE9B5-81E0-4046-83E8-9EE2FA34C30F}"/>
            </a:ext>
          </a:extLst>
        </xdr:cNvPr>
        <xdr:cNvSpPr txBox="1"/>
      </xdr:nvSpPr>
      <xdr:spPr>
        <a:xfrm>
          <a:off x="3753992" y="2900120"/>
          <a:ext cx="36371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9</a:t>
          </a:r>
        </a:p>
      </xdr:txBody>
    </xdr:sp>
    <xdr:clientData/>
  </xdr:twoCellAnchor>
  <xdr:twoCellAnchor>
    <xdr:from>
      <xdr:col>8</xdr:col>
      <xdr:colOff>155526</xdr:colOff>
      <xdr:row>12</xdr:row>
      <xdr:rowOff>87466</xdr:rowOff>
    </xdr:from>
    <xdr:to>
      <xdr:col>8</xdr:col>
      <xdr:colOff>519242</xdr:colOff>
      <xdr:row>15</xdr:row>
      <xdr:rowOff>25798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8741215-C5B5-443B-A4BC-2271D564E40A}"/>
            </a:ext>
          </a:extLst>
        </xdr:cNvPr>
        <xdr:cNvSpPr txBox="1"/>
      </xdr:nvSpPr>
      <xdr:spPr>
        <a:xfrm>
          <a:off x="3733354" y="1968654"/>
          <a:ext cx="363716" cy="34314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12</a:t>
          </a:r>
        </a:p>
      </xdr:txBody>
    </xdr:sp>
    <xdr:clientData/>
  </xdr:twoCellAnchor>
  <xdr:twoCellAnchor>
    <xdr:from>
      <xdr:col>10</xdr:col>
      <xdr:colOff>131713</xdr:colOff>
      <xdr:row>17</xdr:row>
      <xdr:rowOff>125964</xdr:rowOff>
    </xdr:from>
    <xdr:to>
      <xdr:col>10</xdr:col>
      <xdr:colOff>501779</xdr:colOff>
      <xdr:row>19</xdr:row>
      <xdr:rowOff>88505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A0C6C492-7400-4AD2-823C-57A05CA207B2}"/>
            </a:ext>
          </a:extLst>
        </xdr:cNvPr>
        <xdr:cNvSpPr txBox="1"/>
      </xdr:nvSpPr>
      <xdr:spPr>
        <a:xfrm>
          <a:off x="4691807" y="2709620"/>
          <a:ext cx="37006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16</a:t>
          </a:r>
        </a:p>
      </xdr:txBody>
    </xdr:sp>
    <xdr:clientData/>
  </xdr:twoCellAnchor>
  <xdr:twoCellAnchor>
    <xdr:from>
      <xdr:col>4</xdr:col>
      <xdr:colOff>511969</xdr:colOff>
      <xdr:row>6</xdr:row>
      <xdr:rowOff>1121</xdr:rowOff>
    </xdr:from>
    <xdr:to>
      <xdr:col>5</xdr:col>
      <xdr:colOff>34815</xdr:colOff>
      <xdr:row>7</xdr:row>
      <xdr:rowOff>30082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2615A365-8218-4672-8C17-3F6FA0C4F421}"/>
            </a:ext>
          </a:extLst>
        </xdr:cNvPr>
        <xdr:cNvSpPr txBox="1"/>
      </xdr:nvSpPr>
      <xdr:spPr>
        <a:xfrm>
          <a:off x="1809750" y="1013152"/>
          <a:ext cx="350331" cy="15993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17</a:t>
          </a:r>
        </a:p>
      </xdr:txBody>
    </xdr:sp>
    <xdr:clientData/>
  </xdr:twoCellAnchor>
  <xdr:twoCellAnchor>
    <xdr:from>
      <xdr:col>3</xdr:col>
      <xdr:colOff>539353</xdr:colOff>
      <xdr:row>26</xdr:row>
      <xdr:rowOff>91210</xdr:rowOff>
    </xdr:from>
    <xdr:to>
      <xdr:col>4</xdr:col>
      <xdr:colOff>279797</xdr:colOff>
      <xdr:row>27</xdr:row>
      <xdr:rowOff>271064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FA19062-0AD9-434F-A2C6-F8BDA71C9222}"/>
            </a:ext>
          </a:extLst>
        </xdr:cNvPr>
        <xdr:cNvSpPr txBox="1"/>
      </xdr:nvSpPr>
      <xdr:spPr>
        <a:xfrm>
          <a:off x="1229916" y="4055991"/>
          <a:ext cx="347662" cy="3048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18</a:t>
          </a:r>
        </a:p>
      </xdr:txBody>
    </xdr:sp>
    <xdr:clientData/>
  </xdr:twoCellAnchor>
  <xdr:twoCellAnchor>
    <xdr:from>
      <xdr:col>8</xdr:col>
      <xdr:colOff>542528</xdr:colOff>
      <xdr:row>29</xdr:row>
      <xdr:rowOff>129706</xdr:rowOff>
    </xdr:from>
    <xdr:to>
      <xdr:col>9</xdr:col>
      <xdr:colOff>151605</xdr:colOff>
      <xdr:row>31</xdr:row>
      <xdr:rowOff>131364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76A44C-2394-4DA4-8993-7735F695F84C}"/>
            </a:ext>
          </a:extLst>
        </xdr:cNvPr>
        <xdr:cNvSpPr txBox="1"/>
      </xdr:nvSpPr>
      <xdr:spPr>
        <a:xfrm>
          <a:off x="4120356" y="4636222"/>
          <a:ext cx="341312" cy="31122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28</a:t>
          </a:r>
        </a:p>
      </xdr:txBody>
    </xdr:sp>
    <xdr:clientData/>
  </xdr:twoCellAnchor>
  <xdr:twoCellAnchor>
    <xdr:from>
      <xdr:col>7</xdr:col>
      <xdr:colOff>373062</xdr:colOff>
      <xdr:row>36</xdr:row>
      <xdr:rowOff>67000</xdr:rowOff>
    </xdr:from>
    <xdr:to>
      <xdr:col>8</xdr:col>
      <xdr:colOff>311943</xdr:colOff>
      <xdr:row>37</xdr:row>
      <xdr:rowOff>259555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3993AFF1-36AB-432B-9797-7C9E1BBDB97F}"/>
            </a:ext>
          </a:extLst>
        </xdr:cNvPr>
        <xdr:cNvSpPr txBox="1"/>
      </xdr:nvSpPr>
      <xdr:spPr>
        <a:xfrm>
          <a:off x="3557984" y="5627219"/>
          <a:ext cx="331787" cy="3175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30</a:t>
          </a:r>
        </a:p>
      </xdr:txBody>
    </xdr:sp>
    <xdr:clientData/>
  </xdr:twoCellAnchor>
  <xdr:twoCellAnchor>
    <xdr:from>
      <xdr:col>10</xdr:col>
      <xdr:colOff>256777</xdr:colOff>
      <xdr:row>36</xdr:row>
      <xdr:rowOff>87637</xdr:rowOff>
    </xdr:from>
    <xdr:to>
      <xdr:col>10</xdr:col>
      <xdr:colOff>594914</xdr:colOff>
      <xdr:row>38</xdr:row>
      <xdr:rowOff>12301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6B8B8F15-B168-48CC-BCD0-1DC118F3953F}"/>
            </a:ext>
          </a:extLst>
        </xdr:cNvPr>
        <xdr:cNvSpPr txBox="1"/>
      </xdr:nvSpPr>
      <xdr:spPr>
        <a:xfrm>
          <a:off x="4816871" y="5647856"/>
          <a:ext cx="338137" cy="3175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31</a:t>
          </a:r>
        </a:p>
      </xdr:txBody>
    </xdr:sp>
    <xdr:clientData/>
  </xdr:twoCellAnchor>
  <xdr:twoCellAnchor>
    <xdr:from>
      <xdr:col>8</xdr:col>
      <xdr:colOff>255984</xdr:colOff>
      <xdr:row>33</xdr:row>
      <xdr:rowOff>172641</xdr:rowOff>
    </xdr:from>
    <xdr:to>
      <xdr:col>8</xdr:col>
      <xdr:colOff>618728</xdr:colOff>
      <xdr:row>35</xdr:row>
      <xdr:rowOff>86517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A4970DCF-D057-49AA-BA81-A52646E8F0D0}"/>
            </a:ext>
          </a:extLst>
        </xdr:cNvPr>
        <xdr:cNvSpPr txBox="1"/>
      </xdr:nvSpPr>
      <xdr:spPr>
        <a:xfrm>
          <a:off x="3833812" y="5286375"/>
          <a:ext cx="362744" cy="21748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29</a:t>
          </a:r>
        </a:p>
      </xdr:txBody>
    </xdr:sp>
    <xdr:clientData/>
  </xdr:twoCellAnchor>
  <xdr:twoCellAnchor>
    <xdr:from>
      <xdr:col>4</xdr:col>
      <xdr:colOff>636985</xdr:colOff>
      <xdr:row>38</xdr:row>
      <xdr:rowOff>17859</xdr:rowOff>
    </xdr:from>
    <xdr:to>
      <xdr:col>5</xdr:col>
      <xdr:colOff>163511</xdr:colOff>
      <xdr:row>40</xdr:row>
      <xdr:rowOff>8729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6F10BF0B-1E10-45BB-8A2E-8360EA435C68}"/>
            </a:ext>
          </a:extLst>
        </xdr:cNvPr>
        <xdr:cNvSpPr txBox="1"/>
      </xdr:nvSpPr>
      <xdr:spPr>
        <a:xfrm>
          <a:off x="1934766" y="5970984"/>
          <a:ext cx="354011" cy="21113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27</a:t>
          </a:r>
        </a:p>
      </xdr:txBody>
    </xdr:sp>
    <xdr:clientData/>
  </xdr:twoCellAnchor>
  <xdr:twoCellAnchor>
    <xdr:from>
      <xdr:col>3</xdr:col>
      <xdr:colOff>547687</xdr:colOff>
      <xdr:row>38</xdr:row>
      <xdr:rowOff>8731</xdr:rowOff>
    </xdr:from>
    <xdr:to>
      <xdr:col>4</xdr:col>
      <xdr:colOff>273843</xdr:colOff>
      <xdr:row>40</xdr:row>
      <xdr:rowOff>9126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CB030455-2851-45AE-A37C-DE2089B028BD}"/>
            </a:ext>
          </a:extLst>
        </xdr:cNvPr>
        <xdr:cNvSpPr txBox="1"/>
      </xdr:nvSpPr>
      <xdr:spPr>
        <a:xfrm>
          <a:off x="1238250" y="5961856"/>
          <a:ext cx="333374" cy="2206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26</a:t>
          </a:r>
        </a:p>
      </xdr:txBody>
    </xdr:sp>
    <xdr:clientData/>
  </xdr:twoCellAnchor>
  <xdr:twoCellAnchor>
    <xdr:from>
      <xdr:col>2</xdr:col>
      <xdr:colOff>178594</xdr:colOff>
      <xdr:row>37</xdr:row>
      <xdr:rowOff>246856</xdr:rowOff>
    </xdr:from>
    <xdr:to>
      <xdr:col>3</xdr:col>
      <xdr:colOff>172640</xdr:colOff>
      <xdr:row>39</xdr:row>
      <xdr:rowOff>125410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1EC90E8B-46FB-4B2F-9557-B50ED7485017}"/>
            </a:ext>
          </a:extLst>
        </xdr:cNvPr>
        <xdr:cNvSpPr txBox="1"/>
      </xdr:nvSpPr>
      <xdr:spPr>
        <a:xfrm>
          <a:off x="488157" y="5932090"/>
          <a:ext cx="375046" cy="22383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25</a:t>
          </a:r>
        </a:p>
      </xdr:txBody>
    </xdr:sp>
    <xdr:clientData/>
  </xdr:twoCellAnchor>
  <xdr:twoCellAnchor>
    <xdr:from>
      <xdr:col>2</xdr:col>
      <xdr:colOff>303609</xdr:colOff>
      <xdr:row>30</xdr:row>
      <xdr:rowOff>142873</xdr:rowOff>
    </xdr:from>
    <xdr:to>
      <xdr:col>3</xdr:col>
      <xdr:colOff>277018</xdr:colOff>
      <xdr:row>31</xdr:row>
      <xdr:rowOff>130969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9F0E185-4FFE-470D-99E5-5E5EAF3CA02B}"/>
            </a:ext>
          </a:extLst>
        </xdr:cNvPr>
        <xdr:cNvSpPr txBox="1"/>
      </xdr:nvSpPr>
      <xdr:spPr>
        <a:xfrm>
          <a:off x="613172" y="4804170"/>
          <a:ext cx="354409" cy="14287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24</a:t>
          </a:r>
        </a:p>
      </xdr:txBody>
    </xdr:sp>
    <xdr:clientData/>
  </xdr:twoCellAnchor>
  <xdr:twoCellAnchor>
    <xdr:from>
      <xdr:col>2</xdr:col>
      <xdr:colOff>261937</xdr:colOff>
      <xdr:row>32</xdr:row>
      <xdr:rowOff>35720</xdr:rowOff>
    </xdr:from>
    <xdr:to>
      <xdr:col>3</xdr:col>
      <xdr:colOff>286146</xdr:colOff>
      <xdr:row>33</xdr:row>
      <xdr:rowOff>29767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0AAED4E-728C-461E-A90F-DF4FD10C141C}"/>
            </a:ext>
          </a:extLst>
        </xdr:cNvPr>
        <xdr:cNvSpPr txBox="1"/>
      </xdr:nvSpPr>
      <xdr:spPr>
        <a:xfrm>
          <a:off x="571500" y="5006579"/>
          <a:ext cx="405209" cy="13692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23</a:t>
          </a:r>
        </a:p>
      </xdr:txBody>
    </xdr:sp>
    <xdr:clientData/>
  </xdr:twoCellAnchor>
  <xdr:twoCellAnchor>
    <xdr:from>
      <xdr:col>2</xdr:col>
      <xdr:colOff>297656</xdr:colOff>
      <xdr:row>29</xdr:row>
      <xdr:rowOff>130966</xdr:rowOff>
    </xdr:from>
    <xdr:to>
      <xdr:col>3</xdr:col>
      <xdr:colOff>298053</xdr:colOff>
      <xdr:row>30</xdr:row>
      <xdr:rowOff>89297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6119C5BB-D6E5-4AC5-AB44-82FAA912F765}"/>
            </a:ext>
          </a:extLst>
        </xdr:cNvPr>
        <xdr:cNvSpPr txBox="1"/>
      </xdr:nvSpPr>
      <xdr:spPr>
        <a:xfrm>
          <a:off x="607219" y="4637482"/>
          <a:ext cx="381397" cy="1131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22</a:t>
          </a:r>
        </a:p>
      </xdr:txBody>
    </xdr:sp>
    <xdr:clientData/>
  </xdr:twoCellAnchor>
  <xdr:twoCellAnchor>
    <xdr:from>
      <xdr:col>4</xdr:col>
      <xdr:colOff>425847</xdr:colOff>
      <xdr:row>30</xdr:row>
      <xdr:rowOff>9126</xdr:rowOff>
    </xdr:from>
    <xdr:to>
      <xdr:col>5</xdr:col>
      <xdr:colOff>0</xdr:colOff>
      <xdr:row>30</xdr:row>
      <xdr:rowOff>130969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AAD2F47-2B47-43DB-93E9-48C59D2F34CC}"/>
            </a:ext>
          </a:extLst>
        </xdr:cNvPr>
        <xdr:cNvSpPr txBox="1"/>
      </xdr:nvSpPr>
      <xdr:spPr>
        <a:xfrm>
          <a:off x="1723628" y="4670423"/>
          <a:ext cx="401638" cy="12184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19</a:t>
          </a:r>
        </a:p>
      </xdr:txBody>
    </xdr:sp>
    <xdr:clientData/>
  </xdr:twoCellAnchor>
  <xdr:twoCellAnchor>
    <xdr:from>
      <xdr:col>4</xdr:col>
      <xdr:colOff>429022</xdr:colOff>
      <xdr:row>31</xdr:row>
      <xdr:rowOff>30161</xdr:rowOff>
    </xdr:from>
    <xdr:to>
      <xdr:col>5</xdr:col>
      <xdr:colOff>23812</xdr:colOff>
      <xdr:row>31</xdr:row>
      <xdr:rowOff>136922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1B62E04E-30FD-4309-B8E9-113638641E7B}"/>
            </a:ext>
          </a:extLst>
        </xdr:cNvPr>
        <xdr:cNvSpPr txBox="1"/>
      </xdr:nvSpPr>
      <xdr:spPr>
        <a:xfrm>
          <a:off x="1726803" y="4846239"/>
          <a:ext cx="422275" cy="1067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21</a:t>
          </a:r>
        </a:p>
      </xdr:txBody>
    </xdr:sp>
    <xdr:clientData/>
  </xdr:twoCellAnchor>
  <xdr:twoCellAnchor>
    <xdr:from>
      <xdr:col>4</xdr:col>
      <xdr:colOff>512365</xdr:colOff>
      <xdr:row>32</xdr:row>
      <xdr:rowOff>30557</xdr:rowOff>
    </xdr:from>
    <xdr:to>
      <xdr:col>5</xdr:col>
      <xdr:colOff>68658</xdr:colOff>
      <xdr:row>33</xdr:row>
      <xdr:rowOff>17859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70B9F0A-C71E-43A6-A844-437E871B92C7}"/>
            </a:ext>
          </a:extLst>
        </xdr:cNvPr>
        <xdr:cNvSpPr txBox="1"/>
      </xdr:nvSpPr>
      <xdr:spPr>
        <a:xfrm>
          <a:off x="1810146" y="5001416"/>
          <a:ext cx="383778" cy="13017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20</a:t>
          </a:r>
        </a:p>
      </xdr:txBody>
    </xdr:sp>
    <xdr:clientData/>
  </xdr:twoCellAnchor>
  <xdr:twoCellAnchor>
    <xdr:from>
      <xdr:col>4</xdr:col>
      <xdr:colOff>497682</xdr:colOff>
      <xdr:row>7</xdr:row>
      <xdr:rowOff>43285</xdr:rowOff>
    </xdr:from>
    <xdr:to>
      <xdr:col>5</xdr:col>
      <xdr:colOff>11003</xdr:colOff>
      <xdr:row>8</xdr:row>
      <xdr:rowOff>39306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165415EC-8F6C-4F92-9923-806E3A4C584A}"/>
            </a:ext>
          </a:extLst>
        </xdr:cNvPr>
        <xdr:cNvSpPr txBox="1"/>
      </xdr:nvSpPr>
      <xdr:spPr>
        <a:xfrm>
          <a:off x="1791768" y="1205992"/>
          <a:ext cx="341011" cy="16024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33</a:t>
          </a:r>
        </a:p>
      </xdr:txBody>
    </xdr:sp>
    <xdr:clientData/>
  </xdr:twoCellAnchor>
  <xdr:twoCellAnchor>
    <xdr:from>
      <xdr:col>3</xdr:col>
      <xdr:colOff>221456</xdr:colOff>
      <xdr:row>50</xdr:row>
      <xdr:rowOff>88829</xdr:rowOff>
    </xdr:from>
    <xdr:to>
      <xdr:col>3</xdr:col>
      <xdr:colOff>559087</xdr:colOff>
      <xdr:row>52</xdr:row>
      <xdr:rowOff>83343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BBFAEC2D-491D-412B-B770-A06162B986AB}"/>
            </a:ext>
          </a:extLst>
        </xdr:cNvPr>
        <xdr:cNvSpPr txBox="1"/>
      </xdr:nvSpPr>
      <xdr:spPr>
        <a:xfrm>
          <a:off x="912019" y="7732642"/>
          <a:ext cx="337631" cy="28026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33</a:t>
          </a:r>
        </a:p>
      </xdr:txBody>
    </xdr:sp>
    <xdr:clientData/>
  </xdr:twoCellAnchor>
  <xdr:twoCellAnchor>
    <xdr:from>
      <xdr:col>4</xdr:col>
      <xdr:colOff>331391</xdr:colOff>
      <xdr:row>51</xdr:row>
      <xdr:rowOff>79701</xdr:rowOff>
    </xdr:from>
    <xdr:to>
      <xdr:col>4</xdr:col>
      <xdr:colOff>675372</xdr:colOff>
      <xdr:row>53</xdr:row>
      <xdr:rowOff>44846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E0E9D696-A00B-4095-A4C1-A8ADAA926479}"/>
            </a:ext>
          </a:extLst>
        </xdr:cNvPr>
        <xdr:cNvSpPr txBox="1"/>
      </xdr:nvSpPr>
      <xdr:spPr>
        <a:xfrm>
          <a:off x="1629172" y="7830670"/>
          <a:ext cx="343981" cy="28661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34</a:t>
          </a:r>
        </a:p>
      </xdr:txBody>
    </xdr:sp>
    <xdr:clientData/>
  </xdr:twoCellAnchor>
  <xdr:twoCellAnchor>
    <xdr:from>
      <xdr:col>6</xdr:col>
      <xdr:colOff>206452</xdr:colOff>
      <xdr:row>44</xdr:row>
      <xdr:rowOff>45128</xdr:rowOff>
    </xdr:from>
    <xdr:to>
      <xdr:col>6</xdr:col>
      <xdr:colOff>465950</xdr:colOff>
      <xdr:row>45</xdr:row>
      <xdr:rowOff>13939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6DB64876-4E35-4A12-BE42-9B810D2FC787}"/>
            </a:ext>
          </a:extLst>
        </xdr:cNvPr>
        <xdr:cNvSpPr txBox="1"/>
      </xdr:nvSpPr>
      <xdr:spPr>
        <a:xfrm>
          <a:off x="2785172" y="6889189"/>
          <a:ext cx="259498" cy="1221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35</a:t>
          </a:r>
        </a:p>
      </xdr:txBody>
    </xdr:sp>
    <xdr:clientData/>
  </xdr:twoCellAnchor>
  <xdr:twoCellAnchor>
    <xdr:from>
      <xdr:col>7</xdr:col>
      <xdr:colOff>83634</xdr:colOff>
      <xdr:row>45</xdr:row>
      <xdr:rowOff>55892</xdr:rowOff>
    </xdr:from>
    <xdr:to>
      <xdr:col>7</xdr:col>
      <xdr:colOff>374494</xdr:colOff>
      <xdr:row>46</xdr:row>
      <xdr:rowOff>97340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F9B2FE95-FF25-4209-95F7-75D180BD25AE}"/>
            </a:ext>
          </a:extLst>
        </xdr:cNvPr>
        <xdr:cNvSpPr txBox="1"/>
      </xdr:nvSpPr>
      <xdr:spPr>
        <a:xfrm>
          <a:off x="3261732" y="7053282"/>
          <a:ext cx="290860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36</a:t>
          </a:r>
        </a:p>
      </xdr:txBody>
    </xdr:sp>
    <xdr:clientData/>
  </xdr:twoCellAnchor>
  <xdr:twoCellAnchor>
    <xdr:from>
      <xdr:col>6</xdr:col>
      <xdr:colOff>493053</xdr:colOff>
      <xdr:row>44</xdr:row>
      <xdr:rowOff>57364</xdr:rowOff>
    </xdr:from>
    <xdr:to>
      <xdr:col>7</xdr:col>
      <xdr:colOff>153173</xdr:colOff>
      <xdr:row>45</xdr:row>
      <xdr:rowOff>19825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295F645-D313-4026-99AA-4DDEA1E3ABED}"/>
            </a:ext>
          </a:extLst>
        </xdr:cNvPr>
        <xdr:cNvSpPr txBox="1"/>
      </xdr:nvSpPr>
      <xdr:spPr>
        <a:xfrm>
          <a:off x="3071773" y="6901425"/>
          <a:ext cx="259498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40</a:t>
          </a:r>
        </a:p>
      </xdr:txBody>
    </xdr:sp>
    <xdr:clientData/>
  </xdr:twoCellAnchor>
  <xdr:twoCellAnchor>
    <xdr:from>
      <xdr:col>8</xdr:col>
      <xdr:colOff>11537</xdr:colOff>
      <xdr:row>45</xdr:row>
      <xdr:rowOff>45128</xdr:rowOff>
    </xdr:from>
    <xdr:to>
      <xdr:col>8</xdr:col>
      <xdr:colOff>311304</xdr:colOff>
      <xdr:row>46</xdr:row>
      <xdr:rowOff>60402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26CA98A1-9ED5-435C-9991-7544298DFA11}"/>
            </a:ext>
          </a:extLst>
        </xdr:cNvPr>
        <xdr:cNvSpPr txBox="1"/>
      </xdr:nvSpPr>
      <xdr:spPr>
        <a:xfrm>
          <a:off x="3579927" y="7042518"/>
          <a:ext cx="299767" cy="8961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41</a:t>
          </a:r>
        </a:p>
      </xdr:txBody>
    </xdr:sp>
    <xdr:clientData/>
  </xdr:twoCellAnchor>
  <xdr:twoCellAnchor>
    <xdr:from>
      <xdr:col>8</xdr:col>
      <xdr:colOff>530456</xdr:colOff>
      <xdr:row>44</xdr:row>
      <xdr:rowOff>68360</xdr:rowOff>
    </xdr:from>
    <xdr:to>
      <xdr:col>9</xdr:col>
      <xdr:colOff>83633</xdr:colOff>
      <xdr:row>45</xdr:row>
      <xdr:rowOff>30821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4744257D-14CA-4097-9CEA-3DAAC432CD6F}"/>
            </a:ext>
          </a:extLst>
        </xdr:cNvPr>
        <xdr:cNvSpPr txBox="1"/>
      </xdr:nvSpPr>
      <xdr:spPr>
        <a:xfrm>
          <a:off x="4098846" y="6912421"/>
          <a:ext cx="287299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42</a:t>
          </a:r>
        </a:p>
      </xdr:txBody>
    </xdr:sp>
    <xdr:clientData/>
  </xdr:twoCellAnchor>
  <xdr:twoCellAnchor>
    <xdr:from>
      <xdr:col>8</xdr:col>
      <xdr:colOff>218378</xdr:colOff>
      <xdr:row>44</xdr:row>
      <xdr:rowOff>78988</xdr:rowOff>
    </xdr:from>
    <xdr:to>
      <xdr:col>8</xdr:col>
      <xdr:colOff>504592</xdr:colOff>
      <xdr:row>45</xdr:row>
      <xdr:rowOff>25941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8FF29A86-26B6-4B70-B1F3-5A9E6B2A5FF1}"/>
            </a:ext>
          </a:extLst>
        </xdr:cNvPr>
        <xdr:cNvSpPr txBox="1"/>
      </xdr:nvSpPr>
      <xdr:spPr>
        <a:xfrm>
          <a:off x="3786768" y="6923049"/>
          <a:ext cx="286214" cy="10028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37</a:t>
          </a:r>
        </a:p>
      </xdr:txBody>
    </xdr:sp>
    <xdr:clientData/>
  </xdr:twoCellAnchor>
  <xdr:twoCellAnchor>
    <xdr:from>
      <xdr:col>9</xdr:col>
      <xdr:colOff>18586</xdr:colOff>
      <xdr:row>45</xdr:row>
      <xdr:rowOff>54422</xdr:rowOff>
    </xdr:from>
    <xdr:to>
      <xdr:col>10</xdr:col>
      <xdr:colOff>47547</xdr:colOff>
      <xdr:row>46</xdr:row>
      <xdr:rowOff>95870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F2C866AE-3D77-4151-AF7F-895DE5CCCB7B}"/>
            </a:ext>
          </a:extLst>
        </xdr:cNvPr>
        <xdr:cNvSpPr txBox="1"/>
      </xdr:nvSpPr>
      <xdr:spPr>
        <a:xfrm>
          <a:off x="4321098" y="7051812"/>
          <a:ext cx="275217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38</a:t>
          </a:r>
        </a:p>
      </xdr:txBody>
    </xdr:sp>
    <xdr:clientData/>
  </xdr:twoCellAnchor>
  <xdr:twoCellAnchor>
    <xdr:from>
      <xdr:col>10</xdr:col>
      <xdr:colOff>66364</xdr:colOff>
      <xdr:row>45</xdr:row>
      <xdr:rowOff>65960</xdr:rowOff>
    </xdr:from>
    <xdr:to>
      <xdr:col>10</xdr:col>
      <xdr:colOff>343830</xdr:colOff>
      <xdr:row>46</xdr:row>
      <xdr:rowOff>104233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7CFE7C21-44AC-4612-B2CF-FAB0F879E1A5}"/>
            </a:ext>
          </a:extLst>
        </xdr:cNvPr>
        <xdr:cNvSpPr txBox="1"/>
      </xdr:nvSpPr>
      <xdr:spPr>
        <a:xfrm>
          <a:off x="4615132" y="7063350"/>
          <a:ext cx="277466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43</a:t>
          </a:r>
        </a:p>
      </xdr:txBody>
    </xdr:sp>
    <xdr:clientData/>
  </xdr:twoCellAnchor>
  <xdr:twoCellAnchor>
    <xdr:from>
      <xdr:col>10</xdr:col>
      <xdr:colOff>329891</xdr:colOff>
      <xdr:row>44</xdr:row>
      <xdr:rowOff>58138</xdr:rowOff>
    </xdr:from>
    <xdr:to>
      <xdr:col>10</xdr:col>
      <xdr:colOff>601236</xdr:colOff>
      <xdr:row>45</xdr:row>
      <xdr:rowOff>17424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311992D1-8A14-466B-AB1E-F1A06C201D84}"/>
            </a:ext>
          </a:extLst>
        </xdr:cNvPr>
        <xdr:cNvSpPr txBox="1"/>
      </xdr:nvSpPr>
      <xdr:spPr>
        <a:xfrm>
          <a:off x="4878659" y="6902199"/>
          <a:ext cx="271345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39</a:t>
          </a:r>
        </a:p>
      </xdr:txBody>
    </xdr:sp>
    <xdr:clientData/>
  </xdr:twoCellAnchor>
  <xdr:twoCellAnchor>
    <xdr:from>
      <xdr:col>11</xdr:col>
      <xdr:colOff>2787</xdr:colOff>
      <xdr:row>44</xdr:row>
      <xdr:rowOff>58138</xdr:rowOff>
    </xdr:from>
    <xdr:to>
      <xdr:col>12</xdr:col>
      <xdr:colOff>18585</xdr:colOff>
      <xdr:row>45</xdr:row>
      <xdr:rowOff>17424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400D84B-7B56-49C4-BA9D-272ACB60AA49}"/>
            </a:ext>
          </a:extLst>
        </xdr:cNvPr>
        <xdr:cNvSpPr txBox="1"/>
      </xdr:nvSpPr>
      <xdr:spPr>
        <a:xfrm>
          <a:off x="5178811" y="6902199"/>
          <a:ext cx="271347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44</a:t>
          </a:r>
        </a:p>
      </xdr:txBody>
    </xdr:sp>
    <xdr:clientData/>
  </xdr:twoCellAnchor>
  <xdr:twoCellAnchor>
    <xdr:from>
      <xdr:col>6</xdr:col>
      <xdr:colOff>200527</xdr:colOff>
      <xdr:row>51</xdr:row>
      <xdr:rowOff>86705</xdr:rowOff>
    </xdr:from>
    <xdr:to>
      <xdr:col>6</xdr:col>
      <xdr:colOff>465949</xdr:colOff>
      <xdr:row>52</xdr:row>
      <xdr:rowOff>40337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BFF5E662-ACF6-4E93-9D59-CD27942C5314}"/>
            </a:ext>
          </a:extLst>
        </xdr:cNvPr>
        <xdr:cNvSpPr txBox="1"/>
      </xdr:nvSpPr>
      <xdr:spPr>
        <a:xfrm>
          <a:off x="2782303" y="7872139"/>
          <a:ext cx="265422" cy="13410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45</a:t>
          </a:r>
        </a:p>
      </xdr:txBody>
    </xdr:sp>
    <xdr:clientData/>
  </xdr:twoCellAnchor>
  <xdr:twoCellAnchor>
    <xdr:from>
      <xdr:col>7</xdr:col>
      <xdr:colOff>86809</xdr:colOff>
      <xdr:row>52</xdr:row>
      <xdr:rowOff>60065</xdr:rowOff>
    </xdr:from>
    <xdr:to>
      <xdr:col>7</xdr:col>
      <xdr:colOff>371319</xdr:colOff>
      <xdr:row>53</xdr:row>
      <xdr:rowOff>63569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3958FF11-A362-4672-8731-26056BBD573F}"/>
            </a:ext>
          </a:extLst>
        </xdr:cNvPr>
        <xdr:cNvSpPr txBox="1"/>
      </xdr:nvSpPr>
      <xdr:spPr>
        <a:xfrm>
          <a:off x="3264907" y="8042480"/>
          <a:ext cx="284510" cy="1475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46</a:t>
          </a:r>
        </a:p>
      </xdr:txBody>
    </xdr:sp>
    <xdr:clientData/>
  </xdr:twoCellAnchor>
  <xdr:twoCellAnchor>
    <xdr:from>
      <xdr:col>6</xdr:col>
      <xdr:colOff>493053</xdr:colOff>
      <xdr:row>51</xdr:row>
      <xdr:rowOff>83066</xdr:rowOff>
    </xdr:from>
    <xdr:to>
      <xdr:col>7</xdr:col>
      <xdr:colOff>153173</xdr:colOff>
      <xdr:row>52</xdr:row>
      <xdr:rowOff>58923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5E8A946-2700-420E-ABE9-F1C4261727A6}"/>
            </a:ext>
          </a:extLst>
        </xdr:cNvPr>
        <xdr:cNvSpPr txBox="1"/>
      </xdr:nvSpPr>
      <xdr:spPr>
        <a:xfrm>
          <a:off x="3071773" y="7884273"/>
          <a:ext cx="259498" cy="15706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50</a:t>
          </a:r>
        </a:p>
      </xdr:txBody>
    </xdr:sp>
    <xdr:clientData/>
  </xdr:twoCellAnchor>
  <xdr:twoCellAnchor>
    <xdr:from>
      <xdr:col>8</xdr:col>
      <xdr:colOff>8362</xdr:colOff>
      <xdr:row>52</xdr:row>
      <xdr:rowOff>52476</xdr:rowOff>
    </xdr:from>
    <xdr:to>
      <xdr:col>8</xdr:col>
      <xdr:colOff>314479</xdr:colOff>
      <xdr:row>52</xdr:row>
      <xdr:rowOff>135742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CE262CB-484A-4F0E-9DB8-1A7EBB463274}"/>
            </a:ext>
          </a:extLst>
        </xdr:cNvPr>
        <xdr:cNvSpPr txBox="1"/>
      </xdr:nvSpPr>
      <xdr:spPr>
        <a:xfrm>
          <a:off x="3576752" y="8034891"/>
          <a:ext cx="306117" cy="8326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51</a:t>
          </a:r>
        </a:p>
      </xdr:txBody>
    </xdr:sp>
    <xdr:clientData/>
  </xdr:twoCellAnchor>
  <xdr:twoCellAnchor>
    <xdr:from>
      <xdr:col>8</xdr:col>
      <xdr:colOff>530456</xdr:colOff>
      <xdr:row>51</xdr:row>
      <xdr:rowOff>109937</xdr:rowOff>
    </xdr:from>
    <xdr:to>
      <xdr:col>9</xdr:col>
      <xdr:colOff>86808</xdr:colOff>
      <xdr:row>52</xdr:row>
      <xdr:rowOff>63569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EED9F56A-901F-4335-A311-E002EBEE0676}"/>
            </a:ext>
          </a:extLst>
        </xdr:cNvPr>
        <xdr:cNvSpPr txBox="1"/>
      </xdr:nvSpPr>
      <xdr:spPr>
        <a:xfrm>
          <a:off x="4098846" y="7911144"/>
          <a:ext cx="290474" cy="1348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52</a:t>
          </a:r>
        </a:p>
      </xdr:txBody>
    </xdr:sp>
    <xdr:clientData/>
  </xdr:twoCellAnchor>
  <xdr:twoCellAnchor>
    <xdr:from>
      <xdr:col>8</xdr:col>
      <xdr:colOff>235617</xdr:colOff>
      <xdr:row>51</xdr:row>
      <xdr:rowOff>104690</xdr:rowOff>
    </xdr:from>
    <xdr:to>
      <xdr:col>8</xdr:col>
      <xdr:colOff>507766</xdr:colOff>
      <xdr:row>52</xdr:row>
      <xdr:rowOff>45989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BBA828F-B127-407C-B21C-CA48271E084A}"/>
            </a:ext>
          </a:extLst>
        </xdr:cNvPr>
        <xdr:cNvSpPr txBox="1"/>
      </xdr:nvSpPr>
      <xdr:spPr>
        <a:xfrm>
          <a:off x="3809999" y="7890124"/>
          <a:ext cx="272149" cy="121773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47</a:t>
          </a:r>
        </a:p>
      </xdr:txBody>
    </xdr:sp>
    <xdr:clientData/>
  </xdr:twoCellAnchor>
  <xdr:twoCellAnchor>
    <xdr:from>
      <xdr:col>9</xdr:col>
      <xdr:colOff>18586</xdr:colOff>
      <xdr:row>52</xdr:row>
      <xdr:rowOff>52245</xdr:rowOff>
    </xdr:from>
    <xdr:to>
      <xdr:col>10</xdr:col>
      <xdr:colOff>50722</xdr:colOff>
      <xdr:row>53</xdr:row>
      <xdr:rowOff>52574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2A4A27DB-7B9E-41EF-9677-54C51F24A90B}"/>
            </a:ext>
          </a:extLst>
        </xdr:cNvPr>
        <xdr:cNvSpPr txBox="1"/>
      </xdr:nvSpPr>
      <xdr:spPr>
        <a:xfrm>
          <a:off x="4321098" y="8034660"/>
          <a:ext cx="278392" cy="14436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48</a:t>
          </a:r>
        </a:p>
      </xdr:txBody>
    </xdr:sp>
    <xdr:clientData/>
  </xdr:twoCellAnchor>
  <xdr:twoCellAnchor>
    <xdr:from>
      <xdr:col>10</xdr:col>
      <xdr:colOff>69539</xdr:colOff>
      <xdr:row>52</xdr:row>
      <xdr:rowOff>101883</xdr:rowOff>
    </xdr:from>
    <xdr:to>
      <xdr:col>10</xdr:col>
      <xdr:colOff>343830</xdr:colOff>
      <xdr:row>53</xdr:row>
      <xdr:rowOff>54587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A288288-39D3-4B89-A608-97DAF727068D}"/>
            </a:ext>
          </a:extLst>
        </xdr:cNvPr>
        <xdr:cNvSpPr txBox="1"/>
      </xdr:nvSpPr>
      <xdr:spPr>
        <a:xfrm>
          <a:off x="4618307" y="8084298"/>
          <a:ext cx="274291" cy="967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53</a:t>
          </a:r>
        </a:p>
      </xdr:txBody>
    </xdr:sp>
    <xdr:clientData/>
  </xdr:twoCellAnchor>
  <xdr:twoCellAnchor>
    <xdr:from>
      <xdr:col>10</xdr:col>
      <xdr:colOff>333066</xdr:colOff>
      <xdr:row>51</xdr:row>
      <xdr:rowOff>109240</xdr:rowOff>
    </xdr:from>
    <xdr:to>
      <xdr:col>10</xdr:col>
      <xdr:colOff>598061</xdr:colOff>
      <xdr:row>52</xdr:row>
      <xdr:rowOff>40647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376BFCE6-C12B-465D-A3A8-A3C660466EAD}"/>
            </a:ext>
          </a:extLst>
        </xdr:cNvPr>
        <xdr:cNvSpPr txBox="1"/>
      </xdr:nvSpPr>
      <xdr:spPr>
        <a:xfrm>
          <a:off x="4881834" y="7910447"/>
          <a:ext cx="264995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49</a:t>
          </a:r>
        </a:p>
      </xdr:txBody>
    </xdr:sp>
    <xdr:clientData/>
  </xdr:twoCellAnchor>
  <xdr:twoCellAnchor>
    <xdr:from>
      <xdr:col>11</xdr:col>
      <xdr:colOff>2787</xdr:colOff>
      <xdr:row>51</xdr:row>
      <xdr:rowOff>109240</xdr:rowOff>
    </xdr:from>
    <xdr:to>
      <xdr:col>12</xdr:col>
      <xdr:colOff>18585</xdr:colOff>
      <xdr:row>52</xdr:row>
      <xdr:rowOff>40647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47644AB0-5F45-4AB9-B903-6327CB0D8275}"/>
            </a:ext>
          </a:extLst>
        </xdr:cNvPr>
        <xdr:cNvSpPr txBox="1"/>
      </xdr:nvSpPr>
      <xdr:spPr>
        <a:xfrm>
          <a:off x="5178811" y="7910447"/>
          <a:ext cx="271347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54</a:t>
          </a:r>
        </a:p>
      </xdr:txBody>
    </xdr:sp>
    <xdr:clientData/>
  </xdr:twoCellAnchor>
  <xdr:twoCellAnchor>
    <xdr:from>
      <xdr:col>6</xdr:col>
      <xdr:colOff>65362</xdr:colOff>
      <xdr:row>7</xdr:row>
      <xdr:rowOff>116968</xdr:rowOff>
    </xdr:from>
    <xdr:to>
      <xdr:col>6</xdr:col>
      <xdr:colOff>428625</xdr:colOff>
      <xdr:row>8</xdr:row>
      <xdr:rowOff>100289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FF6C1DF3-2D67-448C-9BA3-E1EA033C2B12}"/>
            </a:ext>
          </a:extLst>
        </xdr:cNvPr>
        <xdr:cNvSpPr txBox="1"/>
      </xdr:nvSpPr>
      <xdr:spPr>
        <a:xfrm>
          <a:off x="2649018" y="1259968"/>
          <a:ext cx="363263" cy="14405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34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195170</xdr:colOff>
      <xdr:row>48</xdr:row>
      <xdr:rowOff>62377</xdr:rowOff>
    </xdr:from>
    <xdr:to>
      <xdr:col>5</xdr:col>
      <xdr:colOff>545915</xdr:colOff>
      <xdr:row>52</xdr:row>
      <xdr:rowOff>83294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2AFF387-D3F0-40D6-87ED-73F0F1AC226B}"/>
            </a:ext>
          </a:extLst>
        </xdr:cNvPr>
        <xdr:cNvSpPr/>
      </xdr:nvSpPr>
      <xdr:spPr>
        <a:xfrm rot="1773804">
          <a:off x="1405405" y="9408083"/>
          <a:ext cx="2166098" cy="87256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561433</xdr:colOff>
      <xdr:row>44</xdr:row>
      <xdr:rowOff>150889</xdr:rowOff>
    </xdr:from>
    <xdr:to>
      <xdr:col>14</xdr:col>
      <xdr:colOff>216606</xdr:colOff>
      <xdr:row>85</xdr:row>
      <xdr:rowOff>134679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ECB583-81C5-4570-8D23-8116A14C1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7021" y="8633742"/>
          <a:ext cx="4955556" cy="7704643"/>
        </a:xfrm>
        <a:prstGeom prst="rect">
          <a:avLst/>
        </a:prstGeom>
      </xdr:spPr>
    </xdr:pic>
    <xdr:clientData/>
  </xdr:twoCellAnchor>
  <xdr:twoCellAnchor editAs="oneCell">
    <xdr:from>
      <xdr:col>0</xdr:col>
      <xdr:colOff>459441</xdr:colOff>
      <xdr:row>6</xdr:row>
      <xdr:rowOff>159588</xdr:rowOff>
    </xdr:from>
    <xdr:to>
      <xdr:col>20</xdr:col>
      <xdr:colOff>392206</xdr:colOff>
      <xdr:row>40</xdr:row>
      <xdr:rowOff>45681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E37B70-5380-1EEA-6533-F3B03D4B7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441" y="1504294"/>
          <a:ext cx="11889441" cy="621741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555211</xdr:colOff>
      <xdr:row>20</xdr:row>
      <xdr:rowOff>73163</xdr:rowOff>
    </xdr:from>
    <xdr:to>
      <xdr:col>16</xdr:col>
      <xdr:colOff>154325</xdr:colOff>
      <xdr:row>33</xdr:row>
      <xdr:rowOff>69552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B92FEE-C805-A4F2-70A9-8EB411E08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211" y="3891446"/>
          <a:ext cx="9405723" cy="2365215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F98C0811-C5A2-4217-A4B0-DD94303EB5A5}" autoFormatId="16" applyNumberFormats="0" applyBorderFormats="0" applyFontFormats="0" applyPatternFormats="0" applyAlignmentFormats="0" applyWidthHeightFormats="0">
  <queryTableRefresh nextId="7">
    <queryTableFields count="6">
      <queryTableField id="1" name="METRIC_ID" tableColumnId="1"/>
      <queryTableField id="2" name="SCOTT_DAVIS_DIRECT_REPORTS" tableColumnId="2"/>
      <queryTableField id="3" name="YR" tableColumnId="3"/>
      <queryTableField id="4" name="MO" tableColumnId="4"/>
      <queryTableField id="5" name="STATISTIC" tableColumnId="5"/>
      <queryTableField id="6" name="LABEL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D9E25062-A88B-497E-8673-0CD28962A6E0}" autoFormatId="16" applyNumberFormats="0" applyBorderFormats="0" applyFontFormats="0" applyPatternFormats="0" applyAlignmentFormats="0" applyWidthHeightFormats="0">
  <queryTableRefresh nextId="6">
    <queryTableFields count="5">
      <queryTableField id="1" name="METRIC_ID" tableColumnId="1"/>
      <queryTableField id="2" name="YR" tableColumnId="2"/>
      <queryTableField id="3" name="MO" tableColumnId="3"/>
      <queryTableField id="4" name="STATISTIC" tableColumnId="4"/>
      <queryTableField id="5" name="LABEL" tableColumnId="5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  <v>A black background with a black square
Description automatically generated with medium confidence</v>
  </rv>
  <rv s="0">
    <v>1</v>
    <v>5</v>
    <v>A black background with a black square
Description automatically generated with medium confidence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82A203-64C8-438A-A0F1-F77E45F33B01}" name="Query5" displayName="Query5" ref="A1:F325" tableType="queryTable" totalsRowShown="0">
  <autoFilter ref="A1:F325" xr:uid="{3E82A203-64C8-438A-A0F1-F77E45F33B01}"/>
  <tableColumns count="6">
    <tableColumn id="1" xr3:uid="{570BEF42-AD2C-46D0-9531-D8AAFA1897D4}" uniqueName="1" name="METRIC_ID" queryTableFieldId="1"/>
    <tableColumn id="2" xr3:uid="{D867C283-93D2-4945-858B-67AB73FC0687}" uniqueName="2" name="SCOTT_DAVIS_DIRECT_REPORTS" queryTableFieldId="2" dataDxfId="2"/>
    <tableColumn id="3" xr3:uid="{9D6CBDB2-8875-4376-BDAB-1F4B5167C7BB}" uniqueName="3" name="YR" queryTableFieldId="3"/>
    <tableColumn id="4" xr3:uid="{F12EE368-C58E-485C-B68A-DA4DD207377E}" uniqueName="4" name="MO" queryTableFieldId="4"/>
    <tableColumn id="5" xr3:uid="{A23DE5D5-52DF-423F-ADCC-8299FC438561}" uniqueName="5" name="STATISTIC" queryTableFieldId="5"/>
    <tableColumn id="6" xr3:uid="{98EDBFED-F354-4882-A5F1-497F51ABDDF4}" uniqueName="6" name="LABEL" queryTableFieldId="6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29BD17-3636-4795-9B60-6FF6D9F8F9AF}" name="Query6" displayName="Query6" ref="A1:E55" tableType="queryTable" totalsRowShown="0">
  <autoFilter ref="A1:E55" xr:uid="{DF29BD17-3636-4795-9B60-6FF6D9F8F9AF}"/>
  <tableColumns count="5">
    <tableColumn id="1" xr3:uid="{F87DFC29-4844-4B8C-8008-60E0A674E213}" uniqueName="1" name="METRIC_ID" queryTableFieldId="1"/>
    <tableColumn id="2" xr3:uid="{04DBF088-5F5F-4CDE-98E4-208EEDE2DCF0}" uniqueName="2" name="YR" queryTableFieldId="2"/>
    <tableColumn id="3" xr3:uid="{8EE993AF-4BDD-48E7-A142-AF10CF1A5395}" uniqueName="3" name="MO" queryTableFieldId="3"/>
    <tableColumn id="4" xr3:uid="{20E22BBD-62FD-4BB3-8BEC-3A4F9D273491}" uniqueName="4" name="STATISTIC" queryTableFieldId="4"/>
    <tableColumn id="5" xr3:uid="{D364B28D-2C38-466A-9AB6-F24F4EB22841}" uniqueName="5" name="LABEL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../../../../../../../:f:/r/sites/FLIK_Sam-E15Channel/Shared%20Documents/E15%20Channel/Analytics/Analytics%20Hours/Monthly%20Infographic/Monthly%20Infographic_SQL%20Queries?csf=1&amp;web=1&amp;e=MOavfo" TargetMode="External"/><Relationship Id="rId2" Type="http://schemas.openxmlformats.org/officeDocument/2006/relationships/hyperlink" Target="../../../../../../../:x:/r/sites/FLIK_Sam-E15Channel/Shared%20Documents/E15%20Channel/Analytics/Analytics%20Hours/Monthly%20Infographic/10.08.2024_Monthly%20Infographic_Job%20Aid%20%26%20Templates.xlsx?d=w8a2fa06678e446fa888844b8de0bd45f&amp;csf=1&amp;web=1&amp;e=wNsarb" TargetMode="External"/><Relationship Id="rId1" Type="http://schemas.openxmlformats.org/officeDocument/2006/relationships/hyperlink" Target="https://docs.snowflake.com/en/developer-guide/odbc/odbc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../../../../../../../:f:/r/sites/FLIK_Sam-E15Channel/Shared%20Documents/E15%20Channel/Analytics/Analytics%20Hours/Monthly%20Infographic/Published%20Reports?csf=1&amp;web=1&amp;e=Q0WBzN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../../../../../../../:f:/r/sites/FLIK_Sam-E15Channel/Shared%20Documents/E15%20Channel/Analytics/Analytics%20Hours/Monthly%20Infographic/Published%20Reports?csf=1&amp;web=1&amp;e=Q0WBzN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9E341-84CD-4F90-BEDB-9DBE868EF03C}">
  <sheetPr>
    <tabColor rgb="FFFF0000"/>
    <pageSetUpPr fitToPage="1"/>
  </sheetPr>
  <dimension ref="A1:Q67"/>
  <sheetViews>
    <sheetView topLeftCell="A31" zoomScale="145" zoomScaleNormal="145" workbookViewId="0">
      <selection activeCell="O47" sqref="O47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 t="e" vm="1">
        <v>#VALUE!</v>
      </c>
      <c r="D3" s="76"/>
      <c r="E3" s="76"/>
      <c r="F3" s="77" t="str">
        <f>"E15 Monthly Infographic ("&amp;'reference sheet_indiv SDDR'!I7&amp;" "&amp;'reference sheet_indiv SDDR'!D111&amp;")​"</f>
        <v>E15 Monthly Infographic (September 2024)​</v>
      </c>
      <c r="G3" s="77"/>
      <c r="H3" s="77"/>
      <c r="I3" s="77"/>
      <c r="J3" s="77"/>
      <c r="K3" s="77"/>
      <c r="L3" s="77"/>
    </row>
    <row r="4" spans="2:17" ht="17.399999999999999">
      <c r="C4" s="76"/>
      <c r="D4" s="76"/>
      <c r="E4" s="76"/>
      <c r="F4" s="12" t="str">
        <f>'reference sheet_indiv SDDR'!C115</f>
        <v>Neil Gardner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SDDR'!F115&amp;" Health &amp; Sanitation audits completed"</f>
        <v>9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SDDR'!F131&amp;" VOC responses received"</f>
        <v>460 VOC responses received</v>
      </c>
      <c r="G7" s="78"/>
      <c r="H7" s="78"/>
      <c r="I7" s="78"/>
      <c r="J7" s="78"/>
      <c r="K7" s="78"/>
      <c r="L7" s="76" t="e" vm="2">
        <v>#VALUE!</v>
      </c>
    </row>
    <row r="8" spans="2:17" ht="12.9" customHeight="1">
      <c r="C8" s="76"/>
      <c r="D8" s="76"/>
      <c r="E8" s="76"/>
      <c r="F8" s="78" t="str">
        <f>""&amp;'reference sheet_indiv SDDR'!F147&amp;" Origami and "&amp;'reference sheet_indiv SDDR'!F148&amp;"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HYPERLINK(Hyperlinks!B11,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SDDR'!F118</f>
        <v>0</v>
      </c>
      <c r="H14" s="18"/>
      <c r="I14" s="84" t="str">
        <f>'reference sheet_indiv SDDR'!F126</f>
        <v>0</v>
      </c>
      <c r="J14" s="16"/>
      <c r="K14" s="16"/>
      <c r="L14" s="16"/>
    </row>
    <row r="15" spans="2:17" ht="15.6" customHeight="1">
      <c r="C15" s="16"/>
      <c r="D15" s="89" t="str">
        <f>'reference sheet_indiv SDDR'!F115</f>
        <v>9</v>
      </c>
      <c r="E15" s="89"/>
      <c r="F15" s="16"/>
      <c r="G15" s="84"/>
      <c r="H15" s="13"/>
      <c r="I15" s="84"/>
      <c r="J15" s="16"/>
      <c r="K15" s="79" t="s">
        <v>1</v>
      </c>
      <c r="L15" s="16"/>
      <c r="Q15" s="39"/>
    </row>
    <row r="16" spans="2:17" ht="9.6" customHeight="1">
      <c r="C16" s="16"/>
      <c r="D16" s="89"/>
      <c r="E16" s="89"/>
      <c r="F16" s="16"/>
      <c r="G16" s="19" t="s">
        <v>2</v>
      </c>
      <c r="H16" s="13"/>
      <c r="I16" s="80" t="s">
        <v>3</v>
      </c>
      <c r="J16" s="16"/>
      <c r="K16" s="79"/>
      <c r="L16" s="16"/>
    </row>
    <row r="17" spans="3:17" ht="13.5" customHeight="1">
      <c r="C17" s="16"/>
      <c r="D17" s="81" t="s">
        <v>4</v>
      </c>
      <c r="E17" s="81"/>
      <c r="F17" s="16"/>
      <c r="G17" s="20" t="str">
        <f>""&amp;ROUND(('reference sheet_indiv SDDR'!F119*100),0)&amp;"%"</f>
        <v>0%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SDDR'!F130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80"/>
      <c r="J19" s="16"/>
      <c r="K19" s="82"/>
      <c r="L19" s="16"/>
    </row>
    <row r="20" spans="3:17" ht="9.6" customHeight="1">
      <c r="C20" s="16"/>
      <c r="D20" s="83">
        <f>('reference sheet_indiv SDDR'!F117)*0.01</f>
        <v>0.9788</v>
      </c>
      <c r="E20" s="83"/>
      <c r="F20" s="16"/>
      <c r="G20" s="84" t="str">
        <f>'reference sheet_indiv SDDR'!F122</f>
        <v>0</v>
      </c>
      <c r="H20" s="13"/>
      <c r="I20" s="84" t="str">
        <f>""&amp;ROUND('reference sheet_indiv SDDR'!F123,1)&amp;""</f>
        <v>0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85"/>
      <c r="L23" s="16"/>
    </row>
    <row r="24" spans="3:17" ht="8.1" customHeight="1">
      <c r="C24" s="16"/>
      <c r="F24" s="16"/>
      <c r="G24" s="80"/>
      <c r="H24" s="13"/>
      <c r="I24" s="80"/>
      <c r="J24" s="16"/>
      <c r="K24" s="85"/>
      <c r="L24" s="16"/>
    </row>
    <row r="25" spans="3:17" ht="8.1" customHeight="1">
      <c r="C25" s="16"/>
      <c r="D25" s="16"/>
      <c r="E25" s="16"/>
      <c r="F25" s="16"/>
      <c r="G25" s="23"/>
      <c r="H25" s="13"/>
      <c r="I25" s="80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SDDR'!F132</f>
        <v>191</v>
      </c>
      <c r="E28" s="93"/>
      <c r="G28" s="87" t="str">
        <f>HYPERLINK(Hyperlinks!C11,"AI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SDDR'!F136*100),0)&amp;"%"</f>
        <v>24%</v>
      </c>
      <c r="E31" s="26" t="str">
        <f>"Positive ("&amp;ROUND('reference sheet_indiv SDDR'!F133,0)&amp;")"</f>
        <v>Positive (45)</v>
      </c>
      <c r="H31" s="95" t="str">
        <f>'reference sheet_indiv SDDR'!F142</f>
        <v>88</v>
      </c>
      <c r="I31" s="95"/>
      <c r="J31" s="95"/>
      <c r="K31" s="95"/>
      <c r="L31" s="95"/>
    </row>
    <row r="32" spans="3:17" ht="12" customHeight="1">
      <c r="D32" s="27" t="str">
        <f>""&amp;ROUND(('reference sheet_indiv SDDR'!F138*100),0)&amp;"%"</f>
        <v>42%</v>
      </c>
      <c r="E32" s="26" t="str">
        <f>"Neutral ("&amp;ROUND('reference sheet_indiv SDDR'!F135,0)&amp;")"</f>
        <v>Neutral (81)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SDDR'!F137*100),0)&amp;"%"</f>
        <v>34%</v>
      </c>
      <c r="E33" s="26" t="str">
        <f>"Negative ("&amp;ROUND('reference sheet_indiv SDDR'!F134,0)&amp;")"</f>
        <v>Negative (65)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SDDR'!F143*100),0)&amp;"%"</f>
        <v>88%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SDDR'!F144</f>
        <v>0</v>
      </c>
      <c r="I38" s="90"/>
      <c r="K38" s="90" t="str">
        <f>'reference sheet_indiv SDDR'!F145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98" t="s">
        <v>17</v>
      </c>
      <c r="D44" s="98"/>
      <c r="E44" s="98"/>
      <c r="F44" s="98"/>
      <c r="G44" s="10"/>
      <c r="H44" s="10"/>
      <c r="I44" s="10"/>
      <c r="J44" s="10"/>
      <c r="K44" s="10"/>
      <c r="L44" s="10"/>
    </row>
    <row r="45" spans="3:12" ht="12" customHeight="1">
      <c r="C45" s="98"/>
      <c r="D45" s="98"/>
      <c r="E45" s="98"/>
      <c r="F45" s="98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C44:F45"/>
    <mergeCell ref="D47:E48"/>
    <mergeCell ref="C36:F36"/>
    <mergeCell ref="C37:F37"/>
    <mergeCell ref="H38:I38"/>
    <mergeCell ref="K38:L38"/>
    <mergeCell ref="H39:I41"/>
    <mergeCell ref="K39:L41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K15:K17"/>
    <mergeCell ref="I16:I19"/>
    <mergeCell ref="D17:E18"/>
    <mergeCell ref="K18:K20"/>
    <mergeCell ref="D20:E21"/>
    <mergeCell ref="G20:G21"/>
    <mergeCell ref="I20:I21"/>
    <mergeCell ref="K21:K24"/>
    <mergeCell ref="D22:E23"/>
    <mergeCell ref="G22:G24"/>
    <mergeCell ref="I22:I25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E9DF-3B8E-4401-A469-6C789FAC010F}">
  <sheetPr codeName="Sheet1">
    <tabColor rgb="FFFFFF00"/>
  </sheetPr>
  <dimension ref="B2:M157"/>
  <sheetViews>
    <sheetView zoomScale="130" zoomScaleNormal="130" workbookViewId="0">
      <selection activeCell="C160" sqref="C160"/>
    </sheetView>
  </sheetViews>
  <sheetFormatPr defaultRowHeight="14.4"/>
  <sheetData>
    <row r="2" spans="2:13" ht="25.8">
      <c r="B2" s="101" t="s">
        <v>19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</row>
    <row r="3" spans="2:13" ht="15.6">
      <c r="B3" s="50" t="s">
        <v>20</v>
      </c>
    </row>
    <row r="6" spans="2:13" ht="18">
      <c r="B6" s="102" t="s">
        <v>21</v>
      </c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</row>
    <row r="8" spans="2:13">
      <c r="B8" s="9" t="s">
        <v>22</v>
      </c>
      <c r="C8" t="s">
        <v>23</v>
      </c>
    </row>
    <row r="9" spans="2:13">
      <c r="B9" s="46"/>
    </row>
    <row r="10" spans="2:13">
      <c r="B10" s="9" t="s">
        <v>24</v>
      </c>
      <c r="C10" t="s">
        <v>25</v>
      </c>
      <c r="E10" s="47" t="s">
        <v>26</v>
      </c>
    </row>
    <row r="12" spans="2:13">
      <c r="B12" s="9" t="s">
        <v>27</v>
      </c>
      <c r="C12" s="51" t="s">
        <v>28</v>
      </c>
    </row>
    <row r="15" spans="2:13" ht="18">
      <c r="B15" s="102" t="s">
        <v>29</v>
      </c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</row>
    <row r="17" spans="2:13">
      <c r="B17" s="9" t="s">
        <v>22</v>
      </c>
      <c r="C17" t="s">
        <v>30</v>
      </c>
    </row>
    <row r="18" spans="2:13">
      <c r="C18" s="52" t="s">
        <v>31</v>
      </c>
    </row>
    <row r="20" spans="2:13">
      <c r="B20" s="9" t="s">
        <v>24</v>
      </c>
      <c r="C20" t="s">
        <v>32</v>
      </c>
    </row>
    <row r="21" spans="2:13">
      <c r="C21" s="52" t="s">
        <v>33</v>
      </c>
    </row>
    <row r="24" spans="2:13" ht="18">
      <c r="B24" s="102" t="s">
        <v>34</v>
      </c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</row>
    <row r="26" spans="2:13">
      <c r="B26" s="9" t="s">
        <v>22</v>
      </c>
      <c r="C26" t="s">
        <v>35</v>
      </c>
    </row>
    <row r="29" spans="2:13">
      <c r="B29" s="9" t="s">
        <v>24</v>
      </c>
      <c r="C29" t="s">
        <v>36</v>
      </c>
    </row>
    <row r="50" spans="2:3">
      <c r="B50" s="9" t="s">
        <v>27</v>
      </c>
      <c r="C50" t="s">
        <v>37</v>
      </c>
    </row>
    <row r="72" spans="2:3">
      <c r="B72" s="9" t="s">
        <v>38</v>
      </c>
      <c r="C72" t="s">
        <v>39</v>
      </c>
    </row>
    <row r="97" spans="2:13" ht="18">
      <c r="B97" s="102" t="s">
        <v>40</v>
      </c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</row>
    <row r="99" spans="2:13">
      <c r="B99" s="9" t="s">
        <v>22</v>
      </c>
      <c r="C99" t="s">
        <v>41</v>
      </c>
    </row>
    <row r="101" spans="2:13">
      <c r="B101" s="9" t="s">
        <v>24</v>
      </c>
      <c r="C101" t="s">
        <v>42</v>
      </c>
    </row>
    <row r="103" spans="2:13">
      <c r="B103" s="9" t="s">
        <v>27</v>
      </c>
      <c r="C103" t="s">
        <v>43</v>
      </c>
    </row>
    <row r="105" spans="2:13">
      <c r="B105" s="9" t="s">
        <v>38</v>
      </c>
      <c r="C105" t="s">
        <v>44</v>
      </c>
    </row>
    <row r="108" spans="2:13" ht="18">
      <c r="B108" s="102" t="s">
        <v>45</v>
      </c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</row>
    <row r="110" spans="2:13">
      <c r="B110" s="9" t="s">
        <v>22</v>
      </c>
      <c r="C110" t="s">
        <v>46</v>
      </c>
    </row>
    <row r="112" spans="2:13">
      <c r="B112" s="9" t="s">
        <v>24</v>
      </c>
      <c r="C112" t="s">
        <v>47</v>
      </c>
      <c r="D112" s="49"/>
      <c r="E112" s="48"/>
    </row>
    <row r="115" spans="2:13" ht="18">
      <c r="B115" s="102" t="s">
        <v>48</v>
      </c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</row>
    <row r="117" spans="2:13">
      <c r="B117" s="9" t="s">
        <v>22</v>
      </c>
      <c r="C117" t="s">
        <v>49</v>
      </c>
    </row>
    <row r="119" spans="2:13">
      <c r="B119" s="9" t="s">
        <v>24</v>
      </c>
      <c r="C119" t="s">
        <v>50</v>
      </c>
    </row>
    <row r="121" spans="2:13">
      <c r="D121" s="49"/>
      <c r="E121" s="48"/>
    </row>
    <row r="122" spans="2:13" ht="18">
      <c r="B122" s="102" t="s">
        <v>51</v>
      </c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</row>
    <row r="124" spans="2:13">
      <c r="B124" s="9" t="s">
        <v>22</v>
      </c>
      <c r="C124" t="s">
        <v>52</v>
      </c>
    </row>
    <row r="125" spans="2:13">
      <c r="B125" s="9" t="s">
        <v>24</v>
      </c>
      <c r="C125" t="s">
        <v>53</v>
      </c>
    </row>
    <row r="126" spans="2:13">
      <c r="B126" s="9" t="s">
        <v>27</v>
      </c>
      <c r="C126" t="s">
        <v>54</v>
      </c>
    </row>
    <row r="127" spans="2:13">
      <c r="B127" s="9" t="s">
        <v>38</v>
      </c>
      <c r="C127" t="s">
        <v>55</v>
      </c>
    </row>
    <row r="128" spans="2:13">
      <c r="B128" s="9" t="s">
        <v>56</v>
      </c>
      <c r="C128" t="s">
        <v>57</v>
      </c>
    </row>
    <row r="129" spans="2:4">
      <c r="D129" s="54" t="s">
        <v>58</v>
      </c>
    </row>
    <row r="131" spans="2:4">
      <c r="B131" s="9" t="s">
        <v>59</v>
      </c>
      <c r="C131" t="s">
        <v>60</v>
      </c>
    </row>
    <row r="138" spans="2:4">
      <c r="C138" s="53"/>
    </row>
    <row r="148" spans="2:13">
      <c r="B148" s="9" t="s">
        <v>61</v>
      </c>
      <c r="C148" t="s">
        <v>62</v>
      </c>
    </row>
    <row r="149" spans="2:13">
      <c r="B149" s="9" t="s">
        <v>63</v>
      </c>
      <c r="C149" t="s">
        <v>64</v>
      </c>
    </row>
    <row r="152" spans="2:13" ht="18">
      <c r="B152" s="102" t="s">
        <v>65</v>
      </c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</row>
    <row r="154" spans="2:13">
      <c r="B154" s="9" t="s">
        <v>22</v>
      </c>
      <c r="C154" t="s">
        <v>66</v>
      </c>
    </row>
    <row r="156" spans="2:13">
      <c r="B156" s="9" t="s">
        <v>24</v>
      </c>
      <c r="C156" t="s">
        <v>67</v>
      </c>
    </row>
    <row r="157" spans="2:13">
      <c r="C157" t="s">
        <v>68</v>
      </c>
    </row>
  </sheetData>
  <mergeCells count="9">
    <mergeCell ref="B2:M2"/>
    <mergeCell ref="B115:M115"/>
    <mergeCell ref="B122:M122"/>
    <mergeCell ref="B152:M152"/>
    <mergeCell ref="B24:M24"/>
    <mergeCell ref="B15:M15"/>
    <mergeCell ref="B6:M6"/>
    <mergeCell ref="B97:M97"/>
    <mergeCell ref="B108:M108"/>
  </mergeCells>
  <hyperlinks>
    <hyperlink ref="E10" r:id="rId1" display="https://docs.snowflake.com/en/developer-guide/odbc/odbc" xr:uid="{AB3A7668-AF51-4A16-953E-ABDEEEE34B8D}"/>
    <hyperlink ref="C18" r:id="rId2" display="../../../../../../../:x:/r/sites/FLIK_Sam-E15Channel/Shared Documents/E15 Channel/Analytics/Analytics Hours/Monthly Infographic/10.08.2024_Monthly Infographic_Job Aid %26 Templates.xlsx?d=w8a2fa06678e446fa888844b8de0bd45f&amp;csf=1&amp;web=1&amp;e=wNsarb" xr:uid="{4284D4FE-7491-49CB-A2FD-D1A6C92A07F2}"/>
    <hyperlink ref="C21" r:id="rId3" display="../../../../../../../:f:/r/sites/FLIK_Sam-E15Channel/Shared Documents/E15 Channel/Analytics/Analytics Hours/Monthly Infographic/Monthly Infographic_SQL Queries?csf=1&amp;web=1&amp;e=MOavfo" xr:uid="{DFE746C6-815F-490B-BB05-2E2A4C9044F0}"/>
  </hyperlinks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B9868-C5DD-4D49-94B6-2067FF7CB8A4}">
  <sheetPr codeName="Sheet3">
    <tabColor rgb="FF00B050"/>
  </sheetPr>
  <dimension ref="B2:C502"/>
  <sheetViews>
    <sheetView zoomScale="115" zoomScaleNormal="115" workbookViewId="0">
      <selection activeCell="F9" sqref="F9"/>
    </sheetView>
  </sheetViews>
  <sheetFormatPr defaultRowHeight="14.4"/>
  <sheetData>
    <row r="2" spans="2:3">
      <c r="B2" s="43" t="s">
        <v>69</v>
      </c>
      <c r="C2" s="43"/>
    </row>
    <row r="3" spans="2:3" ht="18">
      <c r="B3" s="8" t="s">
        <v>70</v>
      </c>
    </row>
    <row r="4" spans="2:3" ht="18">
      <c r="B4" s="37" t="s">
        <v>71</v>
      </c>
    </row>
    <row r="5" spans="2:3" ht="18">
      <c r="B5" s="37"/>
    </row>
    <row r="7" spans="2:3">
      <c r="B7" t="s">
        <v>72</v>
      </c>
    </row>
    <row r="9" spans="2:3">
      <c r="B9" t="s">
        <v>73</v>
      </c>
    </row>
    <row r="10" spans="2:3">
      <c r="B10" t="s">
        <v>74</v>
      </c>
    </row>
    <row r="11" spans="2:3">
      <c r="B11" t="s">
        <v>75</v>
      </c>
    </row>
    <row r="12" spans="2:3">
      <c r="B12" t="s">
        <v>76</v>
      </c>
    </row>
    <row r="13" spans="2:3">
      <c r="B13" t="s">
        <v>77</v>
      </c>
    </row>
    <row r="14" spans="2:3">
      <c r="B14" t="s">
        <v>78</v>
      </c>
    </row>
    <row r="15" spans="2:3">
      <c r="B15" t="s">
        <v>79</v>
      </c>
    </row>
    <row r="16" spans="2:3">
      <c r="B16" t="s">
        <v>80</v>
      </c>
    </row>
    <row r="17" spans="2:2">
      <c r="B17" t="s">
        <v>81</v>
      </c>
    </row>
    <row r="19" spans="2:2">
      <c r="B19" t="e" cm="1">
        <f t="array" ref="B19">-- QA Monthly Audit Count by SDDR</f>
        <v>#NAME?</v>
      </c>
    </row>
    <row r="20" spans="2:2">
      <c r="B20" t="s">
        <v>82</v>
      </c>
    </row>
    <row r="21" spans="2:2">
      <c r="B21" t="s">
        <v>83</v>
      </c>
    </row>
    <row r="22" spans="2:2">
      <c r="B22" t="s">
        <v>84</v>
      </c>
    </row>
    <row r="23" spans="2:2">
      <c r="B23" t="s">
        <v>85</v>
      </c>
    </row>
    <row r="24" spans="2:2">
      <c r="B24" t="s">
        <v>86</v>
      </c>
    </row>
    <row r="25" spans="2:2">
      <c r="B25" t="s">
        <v>81</v>
      </c>
    </row>
    <row r="27" spans="2:2">
      <c r="B27" t="e" cm="1">
        <f t="array" ref="B27">-- QA Monthly Unit Count by SDDR</f>
        <v>#NAME?</v>
      </c>
    </row>
    <row r="28" spans="2:2">
      <c r="B28" t="s">
        <v>87</v>
      </c>
    </row>
    <row r="29" spans="2:2">
      <c r="B29" t="s">
        <v>88</v>
      </c>
    </row>
    <row r="30" spans="2:2">
      <c r="B30" t="s">
        <v>84</v>
      </c>
    </row>
    <row r="31" spans="2:2">
      <c r="B31" t="s">
        <v>85</v>
      </c>
    </row>
    <row r="32" spans="2:2">
      <c r="B32" t="s">
        <v>86</v>
      </c>
    </row>
    <row r="33" spans="2:2">
      <c r="B33" t="s">
        <v>81</v>
      </c>
    </row>
    <row r="36" spans="2:2">
      <c r="B36" t="s">
        <v>72</v>
      </c>
    </row>
    <row r="38" spans="2:2">
      <c r="B38" t="s">
        <v>89</v>
      </c>
    </row>
    <row r="39" spans="2:2">
      <c r="B39" t="s">
        <v>90</v>
      </c>
    </row>
    <row r="40" spans="2:2">
      <c r="B40" t="s">
        <v>91</v>
      </c>
    </row>
    <row r="41" spans="2:2">
      <c r="B41" t="s">
        <v>92</v>
      </c>
    </row>
    <row r="42" spans="2:2">
      <c r="B42" t="s">
        <v>93</v>
      </c>
    </row>
    <row r="43" spans="2:2">
      <c r="B43" t="s">
        <v>94</v>
      </c>
    </row>
    <row r="44" spans="2:2">
      <c r="B44" t="s">
        <v>95</v>
      </c>
    </row>
    <row r="45" spans="2:2">
      <c r="B45" t="s">
        <v>96</v>
      </c>
    </row>
    <row r="46" spans="2:2">
      <c r="B46" t="s">
        <v>97</v>
      </c>
    </row>
    <row r="47" spans="2:2">
      <c r="B47" t="s">
        <v>81</v>
      </c>
    </row>
    <row r="50" spans="2:2">
      <c r="B50" t="e" cm="1">
        <f t="array" ref="B50">-- QA Monthly Average Audit Score by SDDR</f>
        <v>#NAME?</v>
      </c>
    </row>
    <row r="51" spans="2:2">
      <c r="B51" t="s">
        <v>98</v>
      </c>
    </row>
    <row r="52" spans="2:2">
      <c r="B52" t="s">
        <v>99</v>
      </c>
    </row>
    <row r="53" spans="2:2">
      <c r="B53" t="s">
        <v>100</v>
      </c>
    </row>
    <row r="54" spans="2:2">
      <c r="B54" t="s">
        <v>101</v>
      </c>
    </row>
    <row r="55" spans="2:2">
      <c r="B55" t="s">
        <v>102</v>
      </c>
    </row>
    <row r="56" spans="2:2">
      <c r="B56" t="s">
        <v>81</v>
      </c>
    </row>
    <row r="59" spans="2:2">
      <c r="B59" t="e" cm="1">
        <f t="array" ref="B59">-- QA Monthly Audit Count &amp; Percentage of units that failed by SDDR</f>
        <v>#NAME?</v>
      </c>
    </row>
    <row r="60" spans="2:2">
      <c r="B60" t="s">
        <v>103</v>
      </c>
    </row>
    <row r="61" spans="2:2">
      <c r="B61" t="s">
        <v>104</v>
      </c>
    </row>
    <row r="62" spans="2:2">
      <c r="B62" t="s">
        <v>105</v>
      </c>
    </row>
    <row r="63" spans="2:2">
      <c r="B63" t="s">
        <v>106</v>
      </c>
    </row>
    <row r="64" spans="2:2">
      <c r="B64" t="s">
        <v>100</v>
      </c>
    </row>
    <row r="65" spans="2:2">
      <c r="B65" t="s">
        <v>101</v>
      </c>
    </row>
    <row r="66" spans="2:2">
      <c r="B66" t="s">
        <v>102</v>
      </c>
    </row>
    <row r="67" spans="2:2">
      <c r="B67" t="s">
        <v>81</v>
      </c>
    </row>
    <row r="68" spans="2:2">
      <c r="B68" t="e" cm="1">
        <f t="array" ref="B68">-- Count of failed audits</f>
        <v>#NAME?</v>
      </c>
    </row>
    <row r="69" spans="2:2">
      <c r="B69" t="s">
        <v>107</v>
      </c>
    </row>
    <row r="70" spans="2:2">
      <c r="B70" t="s">
        <v>108</v>
      </c>
    </row>
    <row r="71" spans="2:2">
      <c r="B71" t="s">
        <v>109</v>
      </c>
    </row>
    <row r="72" spans="2:2">
      <c r="B72" t="s">
        <v>110</v>
      </c>
    </row>
    <row r="73" spans="2:2">
      <c r="B73" t="s">
        <v>111</v>
      </c>
    </row>
    <row r="74" spans="2:2">
      <c r="B74" t="s">
        <v>112</v>
      </c>
    </row>
    <row r="75" spans="2:2">
      <c r="B75" t="s">
        <v>113</v>
      </c>
    </row>
    <row r="76" spans="2:2">
      <c r="B76" t="s">
        <v>86</v>
      </c>
    </row>
    <row r="77" spans="2:2">
      <c r="B77" t="s">
        <v>81</v>
      </c>
    </row>
    <row r="79" spans="2:2">
      <c r="B79" t="s">
        <v>114</v>
      </c>
    </row>
    <row r="81" spans="2:2">
      <c r="B81" t="s">
        <v>115</v>
      </c>
    </row>
    <row r="82" spans="2:2">
      <c r="B82" t="s">
        <v>74</v>
      </c>
    </row>
    <row r="83" spans="2:2">
      <c r="B83" t="s">
        <v>75</v>
      </c>
    </row>
    <row r="84" spans="2:2">
      <c r="B84" t="s">
        <v>76</v>
      </c>
    </row>
    <row r="85" spans="2:2">
      <c r="B85" t="s">
        <v>77</v>
      </c>
    </row>
    <row r="86" spans="2:2">
      <c r="B86" t="s">
        <v>78</v>
      </c>
    </row>
    <row r="87" spans="2:2">
      <c r="B87" t="s">
        <v>79</v>
      </c>
    </row>
    <row r="88" spans="2:2">
      <c r="B88" t="s">
        <v>80</v>
      </c>
    </row>
    <row r="89" spans="2:2">
      <c r="B89" t="s">
        <v>116</v>
      </c>
    </row>
    <row r="90" spans="2:2">
      <c r="B90" t="s">
        <v>81</v>
      </c>
    </row>
    <row r="92" spans="2:2">
      <c r="B92" t="e" cm="1">
        <f t="array" ref="B92">-- QA Monthly Closed Ticket Count by SDDR</f>
        <v>#NAME?</v>
      </c>
    </row>
    <row r="93" spans="2:2">
      <c r="B93" t="s">
        <v>117</v>
      </c>
    </row>
    <row r="94" spans="2:2">
      <c r="B94" t="s">
        <v>118</v>
      </c>
    </row>
    <row r="95" spans="2:2">
      <c r="B95" t="s">
        <v>119</v>
      </c>
    </row>
    <row r="96" spans="2:2">
      <c r="B96" t="s">
        <v>120</v>
      </c>
    </row>
    <row r="97" spans="2:2">
      <c r="B97" t="s">
        <v>121</v>
      </c>
    </row>
    <row r="98" spans="2:2">
      <c r="B98" t="s">
        <v>86</v>
      </c>
    </row>
    <row r="99" spans="2:2">
      <c r="B99" t="s">
        <v>81</v>
      </c>
    </row>
    <row r="101" spans="2:2">
      <c r="B101" t="e" cm="1">
        <f t="array" ref="B101">-- QA Monthly Closed Ticket Count by SDDR</f>
        <v>#NAME?</v>
      </c>
    </row>
    <row r="102" spans="2:2">
      <c r="B102" t="s">
        <v>122</v>
      </c>
    </row>
    <row r="103" spans="2:2">
      <c r="B103" t="s">
        <v>123</v>
      </c>
    </row>
    <row r="104" spans="2:2">
      <c r="B104" t="s">
        <v>119</v>
      </c>
    </row>
    <row r="105" spans="2:2">
      <c r="B105" t="s">
        <v>120</v>
      </c>
    </row>
    <row r="106" spans="2:2">
      <c r="B106" t="s">
        <v>121</v>
      </c>
    </row>
    <row r="107" spans="2:2">
      <c r="B107" t="s">
        <v>86</v>
      </c>
    </row>
    <row r="108" spans="2:2">
      <c r="B108" t="s">
        <v>81</v>
      </c>
    </row>
    <row r="110" spans="2:2">
      <c r="B110" t="e" cm="1">
        <f t="array" ref="B110">-- Count of Types of Missed QA Questions by SDDR</f>
        <v>#NAME?</v>
      </c>
    </row>
    <row r="111" spans="2:2">
      <c r="B111" t="s">
        <v>124</v>
      </c>
    </row>
    <row r="112" spans="2:2">
      <c r="B112" t="s">
        <v>125</v>
      </c>
    </row>
    <row r="113" spans="2:2">
      <c r="B113" t="s">
        <v>126</v>
      </c>
    </row>
    <row r="114" spans="2:2">
      <c r="B114" t="s">
        <v>127</v>
      </c>
    </row>
    <row r="115" spans="2:2">
      <c r="B115" t="s">
        <v>128</v>
      </c>
    </row>
    <row r="116" spans="2:2">
      <c r="B116" t="s">
        <v>129</v>
      </c>
    </row>
    <row r="117" spans="2:2">
      <c r="B117" t="s">
        <v>130</v>
      </c>
    </row>
    <row r="118" spans="2:2">
      <c r="B118" t="s">
        <v>91</v>
      </c>
    </row>
    <row r="119" spans="2:2">
      <c r="B119" t="s">
        <v>131</v>
      </c>
    </row>
    <row r="120" spans="2:2">
      <c r="B120" t="s">
        <v>93</v>
      </c>
    </row>
    <row r="121" spans="2:2">
      <c r="B121" t="s">
        <v>132</v>
      </c>
    </row>
    <row r="122" spans="2:2">
      <c r="B122" t="s">
        <v>95</v>
      </c>
    </row>
    <row r="123" spans="2:2">
      <c r="B123" t="s">
        <v>133</v>
      </c>
    </row>
    <row r="124" spans="2:2">
      <c r="B124" t="s">
        <v>134</v>
      </c>
    </row>
    <row r="125" spans="2:2">
      <c r="B125" t="s">
        <v>135</v>
      </c>
    </row>
    <row r="126" spans="2:2">
      <c r="B126" t="s">
        <v>96</v>
      </c>
    </row>
    <row r="127" spans="2:2">
      <c r="B127" t="s">
        <v>136</v>
      </c>
    </row>
    <row r="128" spans="2:2">
      <c r="B128" t="s">
        <v>137</v>
      </c>
    </row>
    <row r="129" spans="2:2">
      <c r="B129" t="s">
        <v>138</v>
      </c>
    </row>
    <row r="130" spans="2:2">
      <c r="B130" t="s">
        <v>81</v>
      </c>
    </row>
    <row r="132" spans="2:2">
      <c r="B132" t="s">
        <v>114</v>
      </c>
    </row>
    <row r="134" spans="2:2">
      <c r="B134" t="e" cm="1">
        <f t="array" ref="B134">-- Base Query to pull all QA data relating to failed units</f>
        <v>#NAME?</v>
      </c>
    </row>
    <row r="136" spans="2:2">
      <c r="B136" t="e" cm="1">
        <f t="array" ref="B136">-- Table of failed QA audits</f>
        <v>#NAME?</v>
      </c>
    </row>
    <row r="137" spans="2:2">
      <c r="B137" t="s">
        <v>139</v>
      </c>
    </row>
    <row r="138" spans="2:2">
      <c r="B138" t="s">
        <v>140</v>
      </c>
    </row>
    <row r="139" spans="2:2">
      <c r="B139" t="s">
        <v>141</v>
      </c>
    </row>
    <row r="140" spans="2:2">
      <c r="B140" t="s">
        <v>142</v>
      </c>
    </row>
    <row r="141" spans="2:2">
      <c r="B141" t="s">
        <v>143</v>
      </c>
    </row>
    <row r="142" spans="2:2">
      <c r="B142" t="s">
        <v>144</v>
      </c>
    </row>
    <row r="143" spans="2:2">
      <c r="B143" t="s">
        <v>75</v>
      </c>
    </row>
    <row r="144" spans="2:2">
      <c r="B144" t="s">
        <v>76</v>
      </c>
    </row>
    <row r="145" spans="2:2">
      <c r="B145" t="s">
        <v>77</v>
      </c>
    </row>
    <row r="146" spans="2:2">
      <c r="B146" t="s">
        <v>78</v>
      </c>
    </row>
    <row r="147" spans="2:2">
      <c r="B147" t="s">
        <v>79</v>
      </c>
    </row>
    <row r="148" spans="2:2">
      <c r="B148" t="s">
        <v>80</v>
      </c>
    </row>
    <row r="149" spans="2:2">
      <c r="B149" t="s">
        <v>145</v>
      </c>
    </row>
    <row r="150" spans="2:2">
      <c r="B150" t="s">
        <v>146</v>
      </c>
    </row>
    <row r="151" spans="2:2">
      <c r="B151" t="s">
        <v>147</v>
      </c>
    </row>
    <row r="153" spans="2:2">
      <c r="B153" t="s">
        <v>81</v>
      </c>
    </row>
    <row r="155" spans="2:2">
      <c r="B155" t="s">
        <v>148</v>
      </c>
    </row>
    <row r="156" spans="2:2">
      <c r="B156" t="s">
        <v>149</v>
      </c>
    </row>
    <row r="157" spans="2:2">
      <c r="B157" t="s">
        <v>91</v>
      </c>
    </row>
    <row r="158" spans="2:2">
      <c r="B158" t="s">
        <v>92</v>
      </c>
    </row>
    <row r="159" spans="2:2">
      <c r="B159" t="s">
        <v>93</v>
      </c>
    </row>
    <row r="160" spans="2:2">
      <c r="B160" t="s">
        <v>94</v>
      </c>
    </row>
    <row r="161" spans="2:2">
      <c r="B161" t="s">
        <v>95</v>
      </c>
    </row>
    <row r="162" spans="2:2">
      <c r="B162" t="s">
        <v>96</v>
      </c>
    </row>
    <row r="163" spans="2:2">
      <c r="B163" t="s">
        <v>150</v>
      </c>
    </row>
    <row r="164" spans="2:2">
      <c r="B164" t="s">
        <v>151</v>
      </c>
    </row>
    <row r="165" spans="2:2">
      <c r="B165" t="s">
        <v>152</v>
      </c>
    </row>
    <row r="166" spans="2:2">
      <c r="B166" t="s">
        <v>102</v>
      </c>
    </row>
    <row r="167" spans="2:2">
      <c r="B167" t="s">
        <v>81</v>
      </c>
    </row>
    <row r="168" spans="2:2">
      <c r="B168" t="e" cm="1">
        <f t="array" ref="B168">-- Count of Closed Tickets from failed audits</f>
        <v>#NAME?</v>
      </c>
    </row>
    <row r="169" spans="2:2">
      <c r="B169" t="s">
        <v>153</v>
      </c>
    </row>
    <row r="170" spans="2:2">
      <c r="B170" t="s">
        <v>154</v>
      </c>
    </row>
    <row r="171" spans="2:2">
      <c r="B171" t="s">
        <v>155</v>
      </c>
    </row>
    <row r="172" spans="2:2">
      <c r="B172" t="s">
        <v>156</v>
      </c>
    </row>
    <row r="173" spans="2:2">
      <c r="B173" t="s">
        <v>157</v>
      </c>
    </row>
    <row r="174" spans="2:2">
      <c r="B174" t="s">
        <v>158</v>
      </c>
    </row>
    <row r="175" spans="2:2">
      <c r="B175" t="s">
        <v>159</v>
      </c>
    </row>
    <row r="176" spans="2:2">
      <c r="B176" t="s">
        <v>160</v>
      </c>
    </row>
    <row r="177" spans="2:2">
      <c r="B177" t="s">
        <v>161</v>
      </c>
    </row>
    <row r="178" spans="2:2">
      <c r="B178" t="s">
        <v>81</v>
      </c>
    </row>
    <row r="181" spans="2:2">
      <c r="B181" t="s">
        <v>162</v>
      </c>
    </row>
    <row r="182" spans="2:2">
      <c r="B182" t="s">
        <v>163</v>
      </c>
    </row>
    <row r="183" spans="2:2">
      <c r="B183" t="s">
        <v>91</v>
      </c>
    </row>
    <row r="184" spans="2:2">
      <c r="B184" t="s">
        <v>92</v>
      </c>
    </row>
    <row r="185" spans="2:2">
      <c r="B185" t="s">
        <v>93</v>
      </c>
    </row>
    <row r="186" spans="2:2">
      <c r="B186" t="s">
        <v>94</v>
      </c>
    </row>
    <row r="187" spans="2:2">
      <c r="B187" t="s">
        <v>95</v>
      </c>
    </row>
    <row r="188" spans="2:2">
      <c r="B188" t="s">
        <v>96</v>
      </c>
    </row>
    <row r="189" spans="2:2">
      <c r="B189" t="s">
        <v>150</v>
      </c>
    </row>
    <row r="190" spans="2:2">
      <c r="B190" t="s">
        <v>151</v>
      </c>
    </row>
    <row r="191" spans="2:2">
      <c r="B191" t="s">
        <v>102</v>
      </c>
    </row>
    <row r="192" spans="2:2">
      <c r="B192" t="s">
        <v>81</v>
      </c>
    </row>
    <row r="193" spans="2:2">
      <c r="B193" t="e" cm="1">
        <f t="array" ref="B193">-- Average Days to Closed Tickets from failed audits</f>
        <v>#NAME?</v>
      </c>
    </row>
    <row r="194" spans="2:2">
      <c r="B194" t="s">
        <v>164</v>
      </c>
    </row>
    <row r="195" spans="2:2">
      <c r="B195" t="s">
        <v>165</v>
      </c>
    </row>
    <row r="196" spans="2:2">
      <c r="B196" t="s">
        <v>155</v>
      </c>
    </row>
    <row r="197" spans="2:2">
      <c r="B197" t="s">
        <v>166</v>
      </c>
    </row>
    <row r="198" spans="2:2">
      <c r="B198" t="s">
        <v>167</v>
      </c>
    </row>
    <row r="199" spans="2:2">
      <c r="B199" t="s">
        <v>168</v>
      </c>
    </row>
    <row r="200" spans="2:2">
      <c r="B200" t="s">
        <v>158</v>
      </c>
    </row>
    <row r="201" spans="2:2">
      <c r="B201" t="s">
        <v>159</v>
      </c>
    </row>
    <row r="202" spans="2:2">
      <c r="B202" t="s">
        <v>160</v>
      </c>
    </row>
    <row r="203" spans="2:2">
      <c r="B203" t="s">
        <v>161</v>
      </c>
    </row>
    <row r="204" spans="2:2">
      <c r="B204" t="s">
        <v>81</v>
      </c>
    </row>
    <row r="206" spans="2:2">
      <c r="B206" t="e" cm="1">
        <f t="array" ref="B206">-- Count of Missed QA Questions from failed audits</f>
        <v>#NAME?</v>
      </c>
    </row>
    <row r="207" spans="2:2">
      <c r="B207" t="s">
        <v>169</v>
      </c>
    </row>
    <row r="208" spans="2:2">
      <c r="B208" t="s">
        <v>125</v>
      </c>
    </row>
    <row r="209" spans="2:2">
      <c r="B209" t="s">
        <v>170</v>
      </c>
    </row>
    <row r="210" spans="2:2">
      <c r="B210" t="s">
        <v>171</v>
      </c>
    </row>
    <row r="211" spans="2:2">
      <c r="B211" t="s">
        <v>172</v>
      </c>
    </row>
    <row r="212" spans="2:2">
      <c r="B212" t="s">
        <v>129</v>
      </c>
    </row>
    <row r="213" spans="2:2">
      <c r="B213" t="s">
        <v>130</v>
      </c>
    </row>
    <row r="214" spans="2:2">
      <c r="B214" t="s">
        <v>91</v>
      </c>
    </row>
    <row r="215" spans="2:2">
      <c r="B215" t="s">
        <v>131</v>
      </c>
    </row>
    <row r="216" spans="2:2">
      <c r="B216" t="s">
        <v>93</v>
      </c>
    </row>
    <row r="217" spans="2:2">
      <c r="B217" t="s">
        <v>132</v>
      </c>
    </row>
    <row r="218" spans="2:2">
      <c r="B218" t="s">
        <v>173</v>
      </c>
    </row>
    <row r="219" spans="2:2">
      <c r="B219" t="s">
        <v>95</v>
      </c>
    </row>
    <row r="220" spans="2:2">
      <c r="B220" t="s">
        <v>133</v>
      </c>
    </row>
    <row r="221" spans="2:2">
      <c r="B221" t="s">
        <v>134</v>
      </c>
    </row>
    <row r="222" spans="2:2">
      <c r="B222" t="s">
        <v>135</v>
      </c>
    </row>
    <row r="223" spans="2:2">
      <c r="B223" t="s">
        <v>96</v>
      </c>
    </row>
    <row r="224" spans="2:2">
      <c r="B224" t="s">
        <v>136</v>
      </c>
    </row>
    <row r="225" spans="2:2">
      <c r="B225" t="s">
        <v>137</v>
      </c>
    </row>
    <row r="226" spans="2:2">
      <c r="B226" t="s">
        <v>138</v>
      </c>
    </row>
    <row r="227" spans="2:2">
      <c r="B227" t="s">
        <v>81</v>
      </c>
    </row>
    <row r="229" spans="2:2">
      <c r="B229" t="s">
        <v>174</v>
      </c>
    </row>
    <row r="230" spans="2:2">
      <c r="B230" t="e" cm="1">
        <f t="array" ref="B230">-- Purpose: This Query is used to pull the Count of open Tickets for the QA team.</f>
        <v>#NAME?</v>
      </c>
    </row>
    <row r="231" spans="2:2">
      <c r="B231" t="s">
        <v>175</v>
      </c>
    </row>
    <row r="232" spans="2:2">
      <c r="B232" t="s">
        <v>176</v>
      </c>
    </row>
    <row r="233" spans="2:2">
      <c r="B233" t="s">
        <v>177</v>
      </c>
    </row>
    <row r="234" spans="2:2">
      <c r="B234" t="s">
        <v>131</v>
      </c>
    </row>
    <row r="235" spans="2:2">
      <c r="B235" t="s">
        <v>178</v>
      </c>
    </row>
    <row r="236" spans="2:2">
      <c r="B236" t="s">
        <v>132</v>
      </c>
    </row>
    <row r="237" spans="2:2">
      <c r="B237" t="s">
        <v>179</v>
      </c>
    </row>
    <row r="238" spans="2:2">
      <c r="B238" t="s">
        <v>180</v>
      </c>
    </row>
    <row r="239" spans="2:2">
      <c r="B239" t="s">
        <v>181</v>
      </c>
    </row>
    <row r="240" spans="2:2">
      <c r="B240" t="s">
        <v>182</v>
      </c>
    </row>
    <row r="241" spans="2:2">
      <c r="B241" t="s">
        <v>183</v>
      </c>
    </row>
    <row r="242" spans="2:2">
      <c r="B242" t="s">
        <v>184</v>
      </c>
    </row>
    <row r="243" spans="2:2">
      <c r="B243" t="s">
        <v>101</v>
      </c>
    </row>
    <row r="244" spans="2:2">
      <c r="B244" t="s">
        <v>102</v>
      </c>
    </row>
    <row r="245" spans="2:2">
      <c r="B245" t="s">
        <v>81</v>
      </c>
    </row>
    <row r="248" spans="2:2">
      <c r="B248" t="e" cm="1">
        <f t="array" ref="B248">-- Description: This script is used to get the list of active VOC units that participated in LETS TALK FLIK</f>
        <v>#NAME?</v>
      </c>
    </row>
    <row r="250" spans="2:2">
      <c r="B250" t="e" cm="1">
        <f t="array" ref="B250">-- get list of active VOC units that participated in LETS TALK FLIK</f>
        <v>#NAME?</v>
      </c>
    </row>
    <row r="251" spans="2:2">
      <c r="B251" t="s">
        <v>185</v>
      </c>
    </row>
    <row r="252" spans="2:2">
      <c r="B252" t="s">
        <v>186</v>
      </c>
    </row>
    <row r="253" spans="2:2">
      <c r="B253" t="s">
        <v>187</v>
      </c>
    </row>
    <row r="254" spans="2:2">
      <c r="B254" t="s">
        <v>188</v>
      </c>
    </row>
    <row r="255" spans="2:2">
      <c r="B255" t="s">
        <v>189</v>
      </c>
    </row>
    <row r="256" spans="2:2">
      <c r="B256" t="s">
        <v>190</v>
      </c>
    </row>
    <row r="257" spans="2:2">
      <c r="B257" t="s">
        <v>191</v>
      </c>
    </row>
    <row r="259" spans="2:2">
      <c r="B259" t="e" cm="1">
        <f t="array" ref="B259">-- Count of Monthly VOC Responses by SDDR</f>
        <v>#NAME?</v>
      </c>
    </row>
    <row r="260" spans="2:2">
      <c r="B260" t="s">
        <v>192</v>
      </c>
    </row>
    <row r="261" spans="2:2">
      <c r="B261" t="s">
        <v>193</v>
      </c>
    </row>
    <row r="262" spans="2:2">
      <c r="B262" t="s">
        <v>91</v>
      </c>
    </row>
    <row r="263" spans="2:2">
      <c r="B263" t="s">
        <v>194</v>
      </c>
    </row>
    <row r="264" spans="2:2">
      <c r="B264" t="s">
        <v>195</v>
      </c>
    </row>
    <row r="265" spans="2:2">
      <c r="B265" t="s">
        <v>196</v>
      </c>
    </row>
    <row r="266" spans="2:2">
      <c r="B266" t="s">
        <v>132</v>
      </c>
    </row>
    <row r="267" spans="2:2">
      <c r="B267" t="s">
        <v>179</v>
      </c>
    </row>
    <row r="268" spans="2:2">
      <c r="B268" t="s">
        <v>197</v>
      </c>
    </row>
    <row r="269" spans="2:2">
      <c r="B269" t="s">
        <v>198</v>
      </c>
    </row>
    <row r="270" spans="2:2">
      <c r="B270" t="s">
        <v>199</v>
      </c>
    </row>
    <row r="271" spans="2:2">
      <c r="B271" t="s">
        <v>101</v>
      </c>
    </row>
    <row r="272" spans="2:2">
      <c r="B272" t="s">
        <v>102</v>
      </c>
    </row>
    <row r="273" spans="2:2">
      <c r="B273" t="s">
        <v>81</v>
      </c>
    </row>
    <row r="275" spans="2:2">
      <c r="B275" t="s">
        <v>200</v>
      </c>
    </row>
    <row r="276" spans="2:2">
      <c r="B276" t="s">
        <v>201</v>
      </c>
    </row>
    <row r="277" spans="2:2">
      <c r="B277" t="s">
        <v>202</v>
      </c>
    </row>
    <row r="278" spans="2:2">
      <c r="B278" t="s">
        <v>203</v>
      </c>
    </row>
    <row r="279" spans="2:2">
      <c r="B279" t="s">
        <v>204</v>
      </c>
    </row>
    <row r="280" spans="2:2">
      <c r="B280" t="s">
        <v>205</v>
      </c>
    </row>
    <row r="281" spans="2:2">
      <c r="B281" t="s">
        <v>206</v>
      </c>
    </row>
    <row r="282" spans="2:2">
      <c r="B282" t="s">
        <v>207</v>
      </c>
    </row>
    <row r="283" spans="2:2">
      <c r="B283" t="s">
        <v>208</v>
      </c>
    </row>
    <row r="284" spans="2:2">
      <c r="B284" t="s">
        <v>209</v>
      </c>
    </row>
    <row r="286" spans="2:2">
      <c r="B286" t="e" cm="1">
        <f t="array" ref="B286">-- Count of all AI Sentiment Comment by SDDR</f>
        <v>#NAME?</v>
      </c>
    </row>
    <row r="287" spans="2:2">
      <c r="B287" t="s">
        <v>210</v>
      </c>
    </row>
    <row r="288" spans="2:2">
      <c r="B288" t="s">
        <v>211</v>
      </c>
    </row>
    <row r="289" spans="2:2">
      <c r="B289" t="s">
        <v>212</v>
      </c>
    </row>
    <row r="290" spans="2:2">
      <c r="B290" t="s">
        <v>213</v>
      </c>
    </row>
    <row r="291" spans="2:2">
      <c r="B291" t="s">
        <v>101</v>
      </c>
    </row>
    <row r="292" spans="2:2">
      <c r="B292" t="s">
        <v>102</v>
      </c>
    </row>
    <row r="293" spans="2:2">
      <c r="B293" t="s">
        <v>81</v>
      </c>
    </row>
    <row r="295" spans="2:2">
      <c r="B295" t="e" cm="1">
        <f t="array" ref="B295">-- Does not include Sari Feltman at the moment</f>
        <v>#NAME?</v>
      </c>
    </row>
    <row r="296" spans="2:2">
      <c r="B296" t="e" cm="1">
        <f t="array" ref="B296">-- Count of each AI Sentiment by SDDR</f>
        <v>#NAME?</v>
      </c>
    </row>
    <row r="297" spans="2:2">
      <c r="B297" t="s">
        <v>214</v>
      </c>
    </row>
    <row r="298" spans="2:2">
      <c r="B298" t="s">
        <v>215</v>
      </c>
    </row>
    <row r="299" spans="2:2">
      <c r="B299" t="s">
        <v>216</v>
      </c>
    </row>
    <row r="300" spans="2:2">
      <c r="B300" t="s">
        <v>217</v>
      </c>
    </row>
    <row r="301" spans="2:2">
      <c r="B301" t="s">
        <v>218</v>
      </c>
    </row>
    <row r="302" spans="2:2">
      <c r="B302" t="s">
        <v>212</v>
      </c>
    </row>
    <row r="303" spans="2:2">
      <c r="B303" t="s">
        <v>213</v>
      </c>
    </row>
    <row r="304" spans="2:2">
      <c r="B304" t="s">
        <v>219</v>
      </c>
    </row>
    <row r="305" spans="2:2">
      <c r="B305" t="s">
        <v>220</v>
      </c>
    </row>
    <row r="306" spans="2:2">
      <c r="B306" t="s">
        <v>81</v>
      </c>
    </row>
    <row r="307" spans="2:2">
      <c r="B307" t="e" cm="1">
        <f t="array" ref="B307">-- Percentage of each AI Sentiment by SDDR</f>
        <v>#NAME?</v>
      </c>
    </row>
    <row r="308" spans="2:2">
      <c r="B308" t="s">
        <v>221</v>
      </c>
    </row>
    <row r="309" spans="2:2">
      <c r="B309" t="s">
        <v>222</v>
      </c>
    </row>
    <row r="310" spans="2:2">
      <c r="B310" t="s">
        <v>223</v>
      </c>
    </row>
    <row r="311" spans="2:2">
      <c r="B311" t="s">
        <v>224</v>
      </c>
    </row>
    <row r="312" spans="2:2">
      <c r="B312" t="s">
        <v>225</v>
      </c>
    </row>
    <row r="313" spans="2:2">
      <c r="B313" t="s">
        <v>226</v>
      </c>
    </row>
    <row r="314" spans="2:2">
      <c r="B314" t="s">
        <v>212</v>
      </c>
    </row>
    <row r="315" spans="2:2">
      <c r="B315" t="s">
        <v>213</v>
      </c>
    </row>
    <row r="316" spans="2:2">
      <c r="B316" t="s">
        <v>219</v>
      </c>
    </row>
    <row r="317" spans="2:2">
      <c r="B317" t="s">
        <v>220</v>
      </c>
    </row>
    <row r="318" spans="2:2">
      <c r="B318" t="s">
        <v>81</v>
      </c>
    </row>
    <row r="320" spans="2:2">
      <c r="B320" t="s">
        <v>227</v>
      </c>
    </row>
    <row r="321" spans="2:2">
      <c r="B321" t="s">
        <v>228</v>
      </c>
    </row>
    <row r="322" spans="2:2">
      <c r="B322" t="s">
        <v>229</v>
      </c>
    </row>
    <row r="323" spans="2:2">
      <c r="B323" t="s">
        <v>230</v>
      </c>
    </row>
    <row r="324" spans="2:2">
      <c r="B324" t="s">
        <v>231</v>
      </c>
    </row>
    <row r="325" spans="2:2">
      <c r="B325" t="s">
        <v>167</v>
      </c>
    </row>
    <row r="326" spans="2:2">
      <c r="B326" t="s">
        <v>232</v>
      </c>
    </row>
    <row r="327" spans="2:2">
      <c r="B327" t="s">
        <v>233</v>
      </c>
    </row>
    <row r="328" spans="2:2">
      <c r="B328" t="s">
        <v>234</v>
      </c>
    </row>
    <row r="329" spans="2:2">
      <c r="B329" t="s">
        <v>81</v>
      </c>
    </row>
    <row r="330" spans="2:2">
      <c r="B330" t="s">
        <v>235</v>
      </c>
    </row>
    <row r="331" spans="2:2">
      <c r="B331" t="s">
        <v>236</v>
      </c>
    </row>
    <row r="332" spans="2:2">
      <c r="B332" t="s">
        <v>237</v>
      </c>
    </row>
    <row r="333" spans="2:2">
      <c r="B333" t="s">
        <v>238</v>
      </c>
    </row>
    <row r="334" spans="2:2">
      <c r="B334" t="s">
        <v>239</v>
      </c>
    </row>
    <row r="335" spans="2:2">
      <c r="B335" t="s">
        <v>240</v>
      </c>
    </row>
    <row r="336" spans="2:2">
      <c r="B336" t="s">
        <v>241</v>
      </c>
    </row>
    <row r="337" spans="2:2">
      <c r="B337" t="s">
        <v>81</v>
      </c>
    </row>
    <row r="338" spans="2:2">
      <c r="B338" t="s">
        <v>242</v>
      </c>
    </row>
    <row r="339" spans="2:2">
      <c r="B339" t="s">
        <v>243</v>
      </c>
    </row>
    <row r="340" spans="2:2">
      <c r="B340" t="s">
        <v>244</v>
      </c>
    </row>
    <row r="341" spans="2:2">
      <c r="B341" t="s">
        <v>245</v>
      </c>
    </row>
    <row r="342" spans="2:2">
      <c r="B342" t="s">
        <v>246</v>
      </c>
    </row>
    <row r="343" spans="2:2">
      <c r="B343" t="s">
        <v>247</v>
      </c>
    </row>
    <row r="344" spans="2:2">
      <c r="B344" t="s">
        <v>248</v>
      </c>
    </row>
    <row r="345" spans="2:2">
      <c r="B345" t="s">
        <v>249</v>
      </c>
    </row>
    <row r="346" spans="2:2">
      <c r="B346" t="s">
        <v>220</v>
      </c>
    </row>
    <row r="347" spans="2:2">
      <c r="B347" t="s">
        <v>81</v>
      </c>
    </row>
    <row r="349" spans="2:2">
      <c r="B349" t="s">
        <v>250</v>
      </c>
    </row>
    <row r="350" spans="2:2">
      <c r="B350" t="s">
        <v>251</v>
      </c>
    </row>
    <row r="352" spans="2:2">
      <c r="B352" t="s">
        <v>252</v>
      </c>
    </row>
    <row r="353" spans="2:2">
      <c r="B353" t="s">
        <v>253</v>
      </c>
    </row>
    <row r="354" spans="2:2">
      <c r="B354" t="s">
        <v>254</v>
      </c>
    </row>
    <row r="355" spans="2:2">
      <c r="B355" t="s">
        <v>255</v>
      </c>
    </row>
    <row r="356" spans="2:2">
      <c r="B356" t="s">
        <v>256</v>
      </c>
    </row>
    <row r="357" spans="2:2">
      <c r="B357" t="s">
        <v>257</v>
      </c>
    </row>
    <row r="358" spans="2:2">
      <c r="B358" t="s">
        <v>258</v>
      </c>
    </row>
    <row r="359" spans="2:2">
      <c r="B359" t="s">
        <v>259</v>
      </c>
    </row>
    <row r="360" spans="2:2">
      <c r="B360" t="s">
        <v>260</v>
      </c>
    </row>
    <row r="361" spans="2:2">
      <c r="B361" t="s">
        <v>261</v>
      </c>
    </row>
    <row r="362" spans="2:2">
      <c r="B362" t="s">
        <v>262</v>
      </c>
    </row>
    <row r="363" spans="2:2">
      <c r="B363" t="s">
        <v>263</v>
      </c>
    </row>
    <row r="364" spans="2:2">
      <c r="B364" t="s">
        <v>264</v>
      </c>
    </row>
    <row r="365" spans="2:2">
      <c r="B365" t="s">
        <v>265</v>
      </c>
    </row>
    <row r="366" spans="2:2">
      <c r="B366" t="s">
        <v>102</v>
      </c>
    </row>
    <row r="367" spans="2:2">
      <c r="B367" t="s">
        <v>81</v>
      </c>
    </row>
    <row r="368" spans="2:2">
      <c r="B368" t="s">
        <v>266</v>
      </c>
    </row>
    <row r="369" spans="2:2">
      <c r="B369" t="s">
        <v>267</v>
      </c>
    </row>
    <row r="370" spans="2:2">
      <c r="B370" t="s">
        <v>268</v>
      </c>
    </row>
    <row r="371" spans="2:2">
      <c r="B371" t="s">
        <v>213</v>
      </c>
    </row>
    <row r="372" spans="2:2">
      <c r="B372" t="s">
        <v>269</v>
      </c>
    </row>
    <row r="373" spans="2:2">
      <c r="B373" t="s">
        <v>270</v>
      </c>
    </row>
    <row r="374" spans="2:2">
      <c r="B374" t="s">
        <v>102</v>
      </c>
    </row>
    <row r="375" spans="2:2">
      <c r="B375" t="s">
        <v>81</v>
      </c>
    </row>
    <row r="377" spans="2:2">
      <c r="B377" t="s">
        <v>271</v>
      </c>
    </row>
    <row r="378" spans="2:2">
      <c r="B378" t="s">
        <v>272</v>
      </c>
    </row>
    <row r="379" spans="2:2">
      <c r="B379" t="s">
        <v>273</v>
      </c>
    </row>
    <row r="380" spans="2:2">
      <c r="B380" t="s">
        <v>274</v>
      </c>
    </row>
    <row r="382" spans="2:2">
      <c r="B382" t="s">
        <v>81</v>
      </c>
    </row>
    <row r="384" spans="2:2">
      <c r="B384" t="s">
        <v>275</v>
      </c>
    </row>
    <row r="385" spans="2:2">
      <c r="B385" t="s">
        <v>276</v>
      </c>
    </row>
    <row r="386" spans="2:2">
      <c r="B386" t="s">
        <v>277</v>
      </c>
    </row>
    <row r="387" spans="2:2">
      <c r="B387" t="s">
        <v>278</v>
      </c>
    </row>
    <row r="388" spans="2:2">
      <c r="B388" t="s">
        <v>279</v>
      </c>
    </row>
    <row r="389" spans="2:2">
      <c r="B389" t="s">
        <v>158</v>
      </c>
    </row>
    <row r="390" spans="2:2">
      <c r="B390" t="s">
        <v>159</v>
      </c>
    </row>
    <row r="391" spans="2:2">
      <c r="B391" t="s">
        <v>280</v>
      </c>
    </row>
    <row r="392" spans="2:2">
      <c r="B392" t="s">
        <v>81</v>
      </c>
    </row>
    <row r="394" spans="2:2">
      <c r="B394" t="s">
        <v>281</v>
      </c>
    </row>
    <row r="395" spans="2:2">
      <c r="B395" t="s">
        <v>90</v>
      </c>
    </row>
    <row r="396" spans="2:2">
      <c r="B396" t="s">
        <v>282</v>
      </c>
    </row>
    <row r="397" spans="2:2">
      <c r="B397" t="s">
        <v>283</v>
      </c>
    </row>
    <row r="398" spans="2:2">
      <c r="B398" t="s">
        <v>90</v>
      </c>
    </row>
    <row r="399" spans="2:2">
      <c r="B399" t="s">
        <v>284</v>
      </c>
    </row>
    <row r="400" spans="2:2">
      <c r="B400" t="s">
        <v>283</v>
      </c>
    </row>
    <row r="401" spans="2:2">
      <c r="B401" t="s">
        <v>90</v>
      </c>
    </row>
    <row r="402" spans="2:2">
      <c r="B402" t="s">
        <v>285</v>
      </c>
    </row>
    <row r="403" spans="2:2">
      <c r="B403" t="s">
        <v>283</v>
      </c>
    </row>
    <row r="404" spans="2:2">
      <c r="B404" t="s">
        <v>90</v>
      </c>
    </row>
    <row r="405" spans="2:2">
      <c r="B405" t="s">
        <v>286</v>
      </c>
    </row>
    <row r="406" spans="2:2">
      <c r="B406" t="s">
        <v>283</v>
      </c>
    </row>
    <row r="407" spans="2:2">
      <c r="B407" t="s">
        <v>90</v>
      </c>
    </row>
    <row r="408" spans="2:2">
      <c r="B408" t="s">
        <v>287</v>
      </c>
    </row>
    <row r="409" spans="2:2">
      <c r="B409" t="s">
        <v>283</v>
      </c>
    </row>
    <row r="410" spans="2:2">
      <c r="B410" t="s">
        <v>90</v>
      </c>
    </row>
    <row r="411" spans="2:2">
      <c r="B411" t="s">
        <v>288</v>
      </c>
    </row>
    <row r="412" spans="2:2">
      <c r="B412" t="s">
        <v>81</v>
      </c>
    </row>
    <row r="414" spans="2:2">
      <c r="B414" t="s">
        <v>289</v>
      </c>
    </row>
    <row r="415" spans="2:2">
      <c r="B415" t="s">
        <v>290</v>
      </c>
    </row>
    <row r="416" spans="2:2">
      <c r="B416" t="s">
        <v>291</v>
      </c>
    </row>
    <row r="417" spans="2:2">
      <c r="B417" t="s">
        <v>283</v>
      </c>
    </row>
    <row r="418" spans="2:2">
      <c r="B418" t="s">
        <v>90</v>
      </c>
    </row>
    <row r="419" spans="2:2">
      <c r="B419" t="s">
        <v>292</v>
      </c>
    </row>
    <row r="420" spans="2:2">
      <c r="B420" t="s">
        <v>81</v>
      </c>
    </row>
    <row r="422" spans="2:2">
      <c r="B422" t="s">
        <v>293</v>
      </c>
    </row>
    <row r="423" spans="2:2">
      <c r="B423" t="s">
        <v>90</v>
      </c>
    </row>
    <row r="424" spans="2:2">
      <c r="B424" t="s">
        <v>294</v>
      </c>
    </row>
    <row r="425" spans="2:2">
      <c r="B425" t="s">
        <v>283</v>
      </c>
    </row>
    <row r="426" spans="2:2">
      <c r="B426" t="s">
        <v>90</v>
      </c>
    </row>
    <row r="427" spans="2:2">
      <c r="B427" t="s">
        <v>295</v>
      </c>
    </row>
    <row r="428" spans="2:2">
      <c r="B428" t="s">
        <v>283</v>
      </c>
    </row>
    <row r="429" spans="2:2">
      <c r="B429" t="s">
        <v>90</v>
      </c>
    </row>
    <row r="430" spans="2:2">
      <c r="B430" t="s">
        <v>296</v>
      </c>
    </row>
    <row r="431" spans="2:2">
      <c r="B431" t="s">
        <v>283</v>
      </c>
    </row>
    <row r="432" spans="2:2">
      <c r="B432" t="s">
        <v>90</v>
      </c>
    </row>
    <row r="433" spans="2:2">
      <c r="B433" t="s">
        <v>297</v>
      </c>
    </row>
    <row r="434" spans="2:2">
      <c r="B434" t="s">
        <v>283</v>
      </c>
    </row>
    <row r="435" spans="2:2">
      <c r="B435" t="s">
        <v>90</v>
      </c>
    </row>
    <row r="436" spans="2:2">
      <c r="B436" t="s">
        <v>298</v>
      </c>
    </row>
    <row r="437" spans="2:2">
      <c r="B437" t="s">
        <v>283</v>
      </c>
    </row>
    <row r="438" spans="2:2">
      <c r="B438" t="s">
        <v>90</v>
      </c>
    </row>
    <row r="439" spans="2:2">
      <c r="B439" t="s">
        <v>299</v>
      </c>
    </row>
    <row r="440" spans="2:2">
      <c r="B440" t="s">
        <v>283</v>
      </c>
    </row>
    <row r="441" spans="2:2">
      <c r="B441" t="s">
        <v>90</v>
      </c>
    </row>
    <row r="442" spans="2:2">
      <c r="B442" t="s">
        <v>300</v>
      </c>
    </row>
    <row r="443" spans="2:2">
      <c r="B443" t="s">
        <v>283</v>
      </c>
    </row>
    <row r="444" spans="2:2">
      <c r="B444" t="s">
        <v>90</v>
      </c>
    </row>
    <row r="445" spans="2:2">
      <c r="B445" t="s">
        <v>301</v>
      </c>
    </row>
    <row r="446" spans="2:2">
      <c r="B446" t="s">
        <v>283</v>
      </c>
    </row>
    <row r="447" spans="2:2">
      <c r="B447" t="s">
        <v>90</v>
      </c>
    </row>
    <row r="448" spans="2:2">
      <c r="B448" t="s">
        <v>302</v>
      </c>
    </row>
    <row r="449" spans="2:2">
      <c r="B449" t="s">
        <v>283</v>
      </c>
    </row>
    <row r="450" spans="2:2">
      <c r="B450" t="s">
        <v>90</v>
      </c>
    </row>
    <row r="451" spans="2:2">
      <c r="B451" t="s">
        <v>303</v>
      </c>
    </row>
    <row r="452" spans="2:2">
      <c r="B452" t="s">
        <v>283</v>
      </c>
    </row>
    <row r="453" spans="2:2">
      <c r="B453" t="s">
        <v>90</v>
      </c>
    </row>
    <row r="454" spans="2:2">
      <c r="B454" t="s">
        <v>304</v>
      </c>
    </row>
    <row r="455" spans="2:2">
      <c r="B455" t="s">
        <v>81</v>
      </c>
    </row>
    <row r="457" spans="2:2">
      <c r="B457" t="s">
        <v>305</v>
      </c>
    </row>
    <row r="458" spans="2:2">
      <c r="B458" t="s">
        <v>290</v>
      </c>
    </row>
    <row r="459" spans="2:2">
      <c r="B459" t="s">
        <v>306</v>
      </c>
    </row>
    <row r="460" spans="2:2">
      <c r="B460" t="s">
        <v>283</v>
      </c>
    </row>
    <row r="461" spans="2:2">
      <c r="B461" t="s">
        <v>90</v>
      </c>
    </row>
    <row r="462" spans="2:2">
      <c r="B462" t="s">
        <v>307</v>
      </c>
    </row>
    <row r="463" spans="2:2">
      <c r="B463" t="s">
        <v>81</v>
      </c>
    </row>
    <row r="465" spans="2:2">
      <c r="B465" t="s">
        <v>308</v>
      </c>
    </row>
    <row r="466" spans="2:2">
      <c r="B466" t="s">
        <v>309</v>
      </c>
    </row>
    <row r="467" spans="2:2">
      <c r="B467" t="s">
        <v>283</v>
      </c>
    </row>
    <row r="468" spans="2:2">
      <c r="B468" t="s">
        <v>310</v>
      </c>
    </row>
    <row r="469" spans="2:2">
      <c r="B469" t="s">
        <v>311</v>
      </c>
    </row>
    <row r="470" spans="2:2">
      <c r="B470" t="s">
        <v>312</v>
      </c>
    </row>
    <row r="471" spans="2:2">
      <c r="B471" t="s">
        <v>81</v>
      </c>
    </row>
    <row r="473" spans="2:2">
      <c r="B473" t="s">
        <v>313</v>
      </c>
    </row>
    <row r="474" spans="2:2">
      <c r="B474" t="s">
        <v>314</v>
      </c>
    </row>
    <row r="475" spans="2:2">
      <c r="B475" t="s">
        <v>315</v>
      </c>
    </row>
    <row r="476" spans="2:2">
      <c r="B476" t="s">
        <v>316</v>
      </c>
    </row>
    <row r="477" spans="2:2">
      <c r="B477" t="s">
        <v>317</v>
      </c>
    </row>
    <row r="478" spans="2:2">
      <c r="B478" t="s">
        <v>86</v>
      </c>
    </row>
    <row r="479" spans="2:2">
      <c r="B479" t="s">
        <v>81</v>
      </c>
    </row>
    <row r="481" spans="2:2">
      <c r="B481" t="s">
        <v>318</v>
      </c>
    </row>
    <row r="482" spans="2:2">
      <c r="B482" t="s">
        <v>319</v>
      </c>
    </row>
    <row r="483" spans="2:2">
      <c r="B483" t="s">
        <v>320</v>
      </c>
    </row>
    <row r="484" spans="2:2">
      <c r="B484" t="s">
        <v>321</v>
      </c>
    </row>
    <row r="485" spans="2:2">
      <c r="B485" t="s">
        <v>81</v>
      </c>
    </row>
    <row r="487" spans="2:2">
      <c r="B487" t="s">
        <v>322</v>
      </c>
    </row>
    <row r="488" spans="2:2">
      <c r="B488" t="s">
        <v>323</v>
      </c>
    </row>
    <row r="489" spans="2:2">
      <c r="B489" t="s">
        <v>324</v>
      </c>
    </row>
    <row r="490" spans="2:2">
      <c r="B490" t="s">
        <v>325</v>
      </c>
    </row>
    <row r="491" spans="2:2">
      <c r="B491" t="s">
        <v>326</v>
      </c>
    </row>
    <row r="492" spans="2:2">
      <c r="B492" t="s">
        <v>327</v>
      </c>
    </row>
    <row r="493" spans="2:2">
      <c r="B493" t="s">
        <v>328</v>
      </c>
    </row>
    <row r="494" spans="2:2">
      <c r="B494" t="s">
        <v>329</v>
      </c>
    </row>
    <row r="495" spans="2:2">
      <c r="B495" t="s">
        <v>330</v>
      </c>
    </row>
    <row r="496" spans="2:2">
      <c r="B496" t="s">
        <v>81</v>
      </c>
    </row>
    <row r="498" spans="2:2">
      <c r="B498" t="s">
        <v>90</v>
      </c>
    </row>
    <row r="499" spans="2:2">
      <c r="B499" t="s">
        <v>331</v>
      </c>
    </row>
    <row r="500" spans="2:2">
      <c r="B500" t="s">
        <v>332</v>
      </c>
    </row>
    <row r="501" spans="2:2">
      <c r="B501" t="s">
        <v>333</v>
      </c>
    </row>
    <row r="502" spans="2:2">
      <c r="B502" t="s">
        <v>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242-C50F-4F43-85DC-EA3D638A6181}">
  <sheetPr codeName="Sheet4">
    <tabColor rgb="FF00B050"/>
  </sheetPr>
  <dimension ref="B2:C649"/>
  <sheetViews>
    <sheetView zoomScale="130" zoomScaleNormal="130" workbookViewId="0">
      <selection activeCell="F21" sqref="F21"/>
    </sheetView>
  </sheetViews>
  <sheetFormatPr defaultRowHeight="14.4"/>
  <sheetData>
    <row r="2" spans="2:3">
      <c r="B2" s="43" t="s">
        <v>69</v>
      </c>
      <c r="C2" s="43"/>
    </row>
    <row r="3" spans="2:3" ht="18">
      <c r="B3" s="8" t="s">
        <v>335</v>
      </c>
    </row>
    <row r="4" spans="2:3" ht="20.100000000000001" customHeight="1">
      <c r="B4" s="37" t="s">
        <v>336</v>
      </c>
    </row>
    <row r="5" spans="2:3" ht="20.100000000000001" customHeight="1">
      <c r="B5" s="37"/>
    </row>
    <row r="7" spans="2:3">
      <c r="B7" t="s">
        <v>72</v>
      </c>
    </row>
    <row r="9" spans="2:3">
      <c r="B9" t="s">
        <v>73</v>
      </c>
    </row>
    <row r="10" spans="2:3">
      <c r="B10" t="s">
        <v>74</v>
      </c>
    </row>
    <row r="11" spans="2:3">
      <c r="B11" t="s">
        <v>75</v>
      </c>
    </row>
    <row r="12" spans="2:3">
      <c r="B12" t="s">
        <v>76</v>
      </c>
    </row>
    <row r="13" spans="2:3">
      <c r="B13" t="s">
        <v>77</v>
      </c>
    </row>
    <row r="14" spans="2:3">
      <c r="B14" t="s">
        <v>78</v>
      </c>
    </row>
    <row r="15" spans="2:3">
      <c r="B15" t="s">
        <v>79</v>
      </c>
    </row>
    <row r="16" spans="2:3">
      <c r="B16" t="s">
        <v>80</v>
      </c>
    </row>
    <row r="17" spans="2:2">
      <c r="B17" t="s">
        <v>81</v>
      </c>
    </row>
    <row r="19" spans="2:2">
      <c r="B19" t="e" cm="1">
        <f t="array" ref="B19">-- QA Monthly Audit Count by SDDR</f>
        <v>#NAME?</v>
      </c>
    </row>
    <row r="20" spans="2:2">
      <c r="B20" t="s">
        <v>82</v>
      </c>
    </row>
    <row r="21" spans="2:2">
      <c r="B21" t="s">
        <v>83</v>
      </c>
    </row>
    <row r="22" spans="2:2">
      <c r="B22" t="s">
        <v>84</v>
      </c>
    </row>
    <row r="23" spans="2:2">
      <c r="B23" t="s">
        <v>85</v>
      </c>
    </row>
    <row r="24" spans="2:2">
      <c r="B24" t="s">
        <v>86</v>
      </c>
    </row>
    <row r="25" spans="2:2">
      <c r="B25" t="s">
        <v>81</v>
      </c>
    </row>
    <row r="27" spans="2:2">
      <c r="B27" t="e" cm="1">
        <f t="array" ref="B27">-- QA Monthly Unit Count by SDDR</f>
        <v>#NAME?</v>
      </c>
    </row>
    <row r="28" spans="2:2">
      <c r="B28" t="s">
        <v>87</v>
      </c>
    </row>
    <row r="29" spans="2:2">
      <c r="B29" t="s">
        <v>88</v>
      </c>
    </row>
    <row r="30" spans="2:2">
      <c r="B30" t="s">
        <v>84</v>
      </c>
    </row>
    <row r="31" spans="2:2">
      <c r="B31" t="s">
        <v>85</v>
      </c>
    </row>
    <row r="32" spans="2:2">
      <c r="B32" t="s">
        <v>86</v>
      </c>
    </row>
    <row r="33" spans="2:2">
      <c r="B33" t="s">
        <v>81</v>
      </c>
    </row>
    <row r="36" spans="2:2">
      <c r="B36" t="s">
        <v>72</v>
      </c>
    </row>
    <row r="38" spans="2:2">
      <c r="B38" t="s">
        <v>89</v>
      </c>
    </row>
    <row r="39" spans="2:2">
      <c r="B39" t="s">
        <v>90</v>
      </c>
    </row>
    <row r="40" spans="2:2">
      <c r="B40" t="s">
        <v>91</v>
      </c>
    </row>
    <row r="41" spans="2:2">
      <c r="B41" t="s">
        <v>92</v>
      </c>
    </row>
    <row r="42" spans="2:2">
      <c r="B42" t="s">
        <v>93</v>
      </c>
    </row>
    <row r="43" spans="2:2">
      <c r="B43" t="s">
        <v>94</v>
      </c>
    </row>
    <row r="44" spans="2:2">
      <c r="B44" t="s">
        <v>95</v>
      </c>
    </row>
    <row r="45" spans="2:2">
      <c r="B45" t="s">
        <v>96</v>
      </c>
    </row>
    <row r="46" spans="2:2">
      <c r="B46" t="s">
        <v>97</v>
      </c>
    </row>
    <row r="47" spans="2:2">
      <c r="B47" t="s">
        <v>81</v>
      </c>
    </row>
    <row r="50" spans="2:2">
      <c r="B50" t="e" cm="1">
        <f t="array" ref="B50">-- QA Monthly Average Audit Score by SDDR</f>
        <v>#NAME?</v>
      </c>
    </row>
    <row r="51" spans="2:2">
      <c r="B51" t="s">
        <v>98</v>
      </c>
    </row>
    <row r="52" spans="2:2">
      <c r="B52" t="s">
        <v>99</v>
      </c>
    </row>
    <row r="53" spans="2:2">
      <c r="B53" t="s">
        <v>100</v>
      </c>
    </row>
    <row r="54" spans="2:2">
      <c r="B54" t="s">
        <v>101</v>
      </c>
    </row>
    <row r="55" spans="2:2">
      <c r="B55" t="s">
        <v>102</v>
      </c>
    </row>
    <row r="56" spans="2:2">
      <c r="B56" t="s">
        <v>81</v>
      </c>
    </row>
    <row r="59" spans="2:2">
      <c r="B59" t="e" cm="1">
        <f t="array" ref="B59">-- QA Monthly Audit Count &amp; Percentage of units that failed by SDDR</f>
        <v>#NAME?</v>
      </c>
    </row>
    <row r="60" spans="2:2">
      <c r="B60" t="s">
        <v>103</v>
      </c>
    </row>
    <row r="61" spans="2:2">
      <c r="B61" t="s">
        <v>104</v>
      </c>
    </row>
    <row r="62" spans="2:2">
      <c r="B62" t="s">
        <v>105</v>
      </c>
    </row>
    <row r="63" spans="2:2">
      <c r="B63" t="s">
        <v>337</v>
      </c>
    </row>
    <row r="64" spans="2:2">
      <c r="B64" t="s">
        <v>100</v>
      </c>
    </row>
    <row r="65" spans="2:2">
      <c r="B65" t="s">
        <v>101</v>
      </c>
    </row>
    <row r="66" spans="2:2">
      <c r="B66" t="s">
        <v>102</v>
      </c>
    </row>
    <row r="67" spans="2:2">
      <c r="B67" t="s">
        <v>81</v>
      </c>
    </row>
    <row r="68" spans="2:2">
      <c r="B68" t="e" cm="1">
        <f t="array" ref="B68">-- Count of failed audits</f>
        <v>#NAME?</v>
      </c>
    </row>
    <row r="69" spans="2:2">
      <c r="B69" t="s">
        <v>107</v>
      </c>
    </row>
    <row r="70" spans="2:2">
      <c r="B70" t="s">
        <v>108</v>
      </c>
    </row>
    <row r="71" spans="2:2">
      <c r="B71" t="s">
        <v>109</v>
      </c>
    </row>
    <row r="72" spans="2:2">
      <c r="B72" t="s">
        <v>110</v>
      </c>
    </row>
    <row r="73" spans="2:2">
      <c r="B73" t="s">
        <v>111</v>
      </c>
    </row>
    <row r="74" spans="2:2">
      <c r="B74" t="s">
        <v>112</v>
      </c>
    </row>
    <row r="75" spans="2:2">
      <c r="B75" t="s">
        <v>113</v>
      </c>
    </row>
    <row r="76" spans="2:2">
      <c r="B76" t="s">
        <v>86</v>
      </c>
    </row>
    <row r="77" spans="2:2">
      <c r="B77" t="s">
        <v>81</v>
      </c>
    </row>
    <row r="79" spans="2:2">
      <c r="B79" t="s">
        <v>114</v>
      </c>
    </row>
    <row r="81" spans="2:2">
      <c r="B81" t="s">
        <v>115</v>
      </c>
    </row>
    <row r="82" spans="2:2">
      <c r="B82" t="s">
        <v>74</v>
      </c>
    </row>
    <row r="83" spans="2:2">
      <c r="B83" t="s">
        <v>75</v>
      </c>
    </row>
    <row r="84" spans="2:2">
      <c r="B84" t="s">
        <v>76</v>
      </c>
    </row>
    <row r="85" spans="2:2">
      <c r="B85" t="s">
        <v>77</v>
      </c>
    </row>
    <row r="86" spans="2:2">
      <c r="B86" t="s">
        <v>78</v>
      </c>
    </row>
    <row r="87" spans="2:2">
      <c r="B87" t="s">
        <v>79</v>
      </c>
    </row>
    <row r="88" spans="2:2">
      <c r="B88" t="s">
        <v>80</v>
      </c>
    </row>
    <row r="89" spans="2:2">
      <c r="B89" t="s">
        <v>116</v>
      </c>
    </row>
    <row r="90" spans="2:2">
      <c r="B90" t="s">
        <v>81</v>
      </c>
    </row>
    <row r="92" spans="2:2">
      <c r="B92" t="e" cm="1">
        <f t="array" ref="B92">-- QA Monthly Closed Ticket Count by SDDR</f>
        <v>#NAME?</v>
      </c>
    </row>
    <row r="93" spans="2:2">
      <c r="B93" t="s">
        <v>117</v>
      </c>
    </row>
    <row r="94" spans="2:2">
      <c r="B94" t="s">
        <v>118</v>
      </c>
    </row>
    <row r="95" spans="2:2">
      <c r="B95" t="s">
        <v>119</v>
      </c>
    </row>
    <row r="96" spans="2:2">
      <c r="B96" t="s">
        <v>120</v>
      </c>
    </row>
    <row r="97" spans="2:2">
      <c r="B97" t="s">
        <v>121</v>
      </c>
    </row>
    <row r="98" spans="2:2">
      <c r="B98" t="s">
        <v>86</v>
      </c>
    </row>
    <row r="99" spans="2:2">
      <c r="B99" t="s">
        <v>81</v>
      </c>
    </row>
    <row r="101" spans="2:2">
      <c r="B101" t="e" cm="1">
        <f t="array" ref="B101">-- QA Monthly Closed Ticket Count by SDDR</f>
        <v>#NAME?</v>
      </c>
    </row>
    <row r="102" spans="2:2">
      <c r="B102" t="s">
        <v>122</v>
      </c>
    </row>
    <row r="103" spans="2:2">
      <c r="B103" t="s">
        <v>123</v>
      </c>
    </row>
    <row r="104" spans="2:2">
      <c r="B104" t="s">
        <v>119</v>
      </c>
    </row>
    <row r="105" spans="2:2">
      <c r="B105" t="s">
        <v>120</v>
      </c>
    </row>
    <row r="106" spans="2:2">
      <c r="B106" t="s">
        <v>121</v>
      </c>
    </row>
    <row r="107" spans="2:2">
      <c r="B107" t="s">
        <v>86</v>
      </c>
    </row>
    <row r="108" spans="2:2">
      <c r="B108" t="s">
        <v>81</v>
      </c>
    </row>
    <row r="110" spans="2:2">
      <c r="B110" t="e" cm="1">
        <f t="array" ref="B110">-- Count of Types of Missed QA Questions by SDDR</f>
        <v>#NAME?</v>
      </c>
    </row>
    <row r="111" spans="2:2">
      <c r="B111" t="s">
        <v>124</v>
      </c>
    </row>
    <row r="112" spans="2:2">
      <c r="B112" t="s">
        <v>125</v>
      </c>
    </row>
    <row r="113" spans="2:2">
      <c r="B113" t="s">
        <v>126</v>
      </c>
    </row>
    <row r="114" spans="2:2">
      <c r="B114" t="s">
        <v>127</v>
      </c>
    </row>
    <row r="115" spans="2:2">
      <c r="B115" t="s">
        <v>128</v>
      </c>
    </row>
    <row r="116" spans="2:2">
      <c r="B116" t="s">
        <v>129</v>
      </c>
    </row>
    <row r="117" spans="2:2">
      <c r="B117" t="s">
        <v>130</v>
      </c>
    </row>
    <row r="118" spans="2:2">
      <c r="B118" t="s">
        <v>91</v>
      </c>
    </row>
    <row r="119" spans="2:2">
      <c r="B119" t="s">
        <v>131</v>
      </c>
    </row>
    <row r="120" spans="2:2">
      <c r="B120" t="s">
        <v>93</v>
      </c>
    </row>
    <row r="121" spans="2:2">
      <c r="B121" t="s">
        <v>132</v>
      </c>
    </row>
    <row r="122" spans="2:2">
      <c r="B122" t="s">
        <v>95</v>
      </c>
    </row>
    <row r="123" spans="2:2">
      <c r="B123" t="s">
        <v>133</v>
      </c>
    </row>
    <row r="124" spans="2:2">
      <c r="B124" t="s">
        <v>134</v>
      </c>
    </row>
    <row r="125" spans="2:2">
      <c r="B125" t="s">
        <v>135</v>
      </c>
    </row>
    <row r="126" spans="2:2">
      <c r="B126" t="s">
        <v>96</v>
      </c>
    </row>
    <row r="127" spans="2:2">
      <c r="B127" t="s">
        <v>136</v>
      </c>
    </row>
    <row r="128" spans="2:2">
      <c r="B128" t="s">
        <v>137</v>
      </c>
    </row>
    <row r="129" spans="2:2">
      <c r="B129" t="s">
        <v>138</v>
      </c>
    </row>
    <row r="130" spans="2:2">
      <c r="B130" t="s">
        <v>81</v>
      </c>
    </row>
    <row r="132" spans="2:2">
      <c r="B132" t="s">
        <v>114</v>
      </c>
    </row>
    <row r="134" spans="2:2">
      <c r="B134" t="e" cm="1">
        <f t="array" ref="B134">-- Base Query to pull all QA data relating to failed units</f>
        <v>#NAME?</v>
      </c>
    </row>
    <row r="136" spans="2:2">
      <c r="B136" t="e" cm="1">
        <f t="array" ref="B136">-- Table of failed QA audits</f>
        <v>#NAME?</v>
      </c>
    </row>
    <row r="137" spans="2:2">
      <c r="B137" t="s">
        <v>139</v>
      </c>
    </row>
    <row r="138" spans="2:2">
      <c r="B138" t="s">
        <v>140</v>
      </c>
    </row>
    <row r="139" spans="2:2">
      <c r="B139" t="s">
        <v>141</v>
      </c>
    </row>
    <row r="140" spans="2:2">
      <c r="B140" t="s">
        <v>142</v>
      </c>
    </row>
    <row r="141" spans="2:2">
      <c r="B141" t="s">
        <v>143</v>
      </c>
    </row>
    <row r="142" spans="2:2">
      <c r="B142" t="s">
        <v>144</v>
      </c>
    </row>
    <row r="143" spans="2:2">
      <c r="B143" t="s">
        <v>75</v>
      </c>
    </row>
    <row r="144" spans="2:2">
      <c r="B144" t="s">
        <v>76</v>
      </c>
    </row>
    <row r="145" spans="2:2">
      <c r="B145" t="s">
        <v>77</v>
      </c>
    </row>
    <row r="146" spans="2:2">
      <c r="B146" t="s">
        <v>78</v>
      </c>
    </row>
    <row r="147" spans="2:2">
      <c r="B147" t="s">
        <v>79</v>
      </c>
    </row>
    <row r="148" spans="2:2">
      <c r="B148" t="s">
        <v>80</v>
      </c>
    </row>
    <row r="149" spans="2:2">
      <c r="B149" t="s">
        <v>145</v>
      </c>
    </row>
    <row r="150" spans="2:2">
      <c r="B150" t="s">
        <v>146</v>
      </c>
    </row>
    <row r="151" spans="2:2">
      <c r="B151" t="s">
        <v>147</v>
      </c>
    </row>
    <row r="153" spans="2:2">
      <c r="B153" t="s">
        <v>81</v>
      </c>
    </row>
    <row r="155" spans="2:2">
      <c r="B155" t="s">
        <v>148</v>
      </c>
    </row>
    <row r="156" spans="2:2">
      <c r="B156" t="s">
        <v>149</v>
      </c>
    </row>
    <row r="157" spans="2:2">
      <c r="B157" t="s">
        <v>91</v>
      </c>
    </row>
    <row r="158" spans="2:2">
      <c r="B158" t="s">
        <v>92</v>
      </c>
    </row>
    <row r="159" spans="2:2">
      <c r="B159" t="s">
        <v>93</v>
      </c>
    </row>
    <row r="160" spans="2:2">
      <c r="B160" t="s">
        <v>94</v>
      </c>
    </row>
    <row r="161" spans="2:2">
      <c r="B161" t="s">
        <v>95</v>
      </c>
    </row>
    <row r="162" spans="2:2">
      <c r="B162" t="s">
        <v>96</v>
      </c>
    </row>
    <row r="163" spans="2:2">
      <c r="B163" t="s">
        <v>150</v>
      </c>
    </row>
    <row r="164" spans="2:2">
      <c r="B164" t="s">
        <v>151</v>
      </c>
    </row>
    <row r="165" spans="2:2">
      <c r="B165" t="s">
        <v>152</v>
      </c>
    </row>
    <row r="166" spans="2:2">
      <c r="B166" t="s">
        <v>102</v>
      </c>
    </row>
    <row r="167" spans="2:2">
      <c r="B167" t="s">
        <v>81</v>
      </c>
    </row>
    <row r="168" spans="2:2">
      <c r="B168" t="e" cm="1">
        <f t="array" ref="B168">-- Count of Closed Tickets from failed audits</f>
        <v>#NAME?</v>
      </c>
    </row>
    <row r="169" spans="2:2">
      <c r="B169" t="s">
        <v>153</v>
      </c>
    </row>
    <row r="170" spans="2:2">
      <c r="B170" t="s">
        <v>154</v>
      </c>
    </row>
    <row r="171" spans="2:2">
      <c r="B171" t="s">
        <v>155</v>
      </c>
    </row>
    <row r="172" spans="2:2">
      <c r="B172" t="s">
        <v>156</v>
      </c>
    </row>
    <row r="173" spans="2:2">
      <c r="B173" t="s">
        <v>157</v>
      </c>
    </row>
    <row r="174" spans="2:2">
      <c r="B174" t="s">
        <v>158</v>
      </c>
    </row>
    <row r="175" spans="2:2">
      <c r="B175" t="s">
        <v>159</v>
      </c>
    </row>
    <row r="176" spans="2:2">
      <c r="B176" t="s">
        <v>160</v>
      </c>
    </row>
    <row r="177" spans="2:2">
      <c r="B177" t="s">
        <v>161</v>
      </c>
    </row>
    <row r="178" spans="2:2">
      <c r="B178" t="s">
        <v>81</v>
      </c>
    </row>
    <row r="181" spans="2:2">
      <c r="B181" t="s">
        <v>162</v>
      </c>
    </row>
    <row r="182" spans="2:2">
      <c r="B182" t="s">
        <v>163</v>
      </c>
    </row>
    <row r="183" spans="2:2">
      <c r="B183" t="s">
        <v>91</v>
      </c>
    </row>
    <row r="184" spans="2:2">
      <c r="B184" t="s">
        <v>92</v>
      </c>
    </row>
    <row r="185" spans="2:2">
      <c r="B185" t="s">
        <v>93</v>
      </c>
    </row>
    <row r="186" spans="2:2">
      <c r="B186" t="s">
        <v>94</v>
      </c>
    </row>
    <row r="187" spans="2:2">
      <c r="B187" t="s">
        <v>95</v>
      </c>
    </row>
    <row r="188" spans="2:2">
      <c r="B188" t="s">
        <v>96</v>
      </c>
    </row>
    <row r="189" spans="2:2">
      <c r="B189" t="s">
        <v>150</v>
      </c>
    </row>
    <row r="190" spans="2:2">
      <c r="B190" t="s">
        <v>151</v>
      </c>
    </row>
    <row r="191" spans="2:2">
      <c r="B191" t="s">
        <v>102</v>
      </c>
    </row>
    <row r="192" spans="2:2">
      <c r="B192" t="s">
        <v>81</v>
      </c>
    </row>
    <row r="193" spans="2:2">
      <c r="B193" t="e" cm="1">
        <f t="array" ref="B193">-- Average Days to Closed Tickets from failed audits</f>
        <v>#NAME?</v>
      </c>
    </row>
    <row r="194" spans="2:2">
      <c r="B194" t="s">
        <v>164</v>
      </c>
    </row>
    <row r="195" spans="2:2">
      <c r="B195" t="s">
        <v>165</v>
      </c>
    </row>
    <row r="196" spans="2:2">
      <c r="B196" t="s">
        <v>155</v>
      </c>
    </row>
    <row r="197" spans="2:2">
      <c r="B197" t="s">
        <v>166</v>
      </c>
    </row>
    <row r="198" spans="2:2">
      <c r="B198" t="s">
        <v>167</v>
      </c>
    </row>
    <row r="199" spans="2:2">
      <c r="B199" t="s">
        <v>168</v>
      </c>
    </row>
    <row r="200" spans="2:2">
      <c r="B200" t="s">
        <v>158</v>
      </c>
    </row>
    <row r="201" spans="2:2">
      <c r="B201" t="s">
        <v>159</v>
      </c>
    </row>
    <row r="202" spans="2:2">
      <c r="B202" t="s">
        <v>338</v>
      </c>
    </row>
    <row r="203" spans="2:2">
      <c r="B203" t="s">
        <v>161</v>
      </c>
    </row>
    <row r="204" spans="2:2">
      <c r="B204" t="s">
        <v>81</v>
      </c>
    </row>
    <row r="206" spans="2:2">
      <c r="B206" t="e" cm="1">
        <f t="array" ref="B206">-- Count of Missed QA Questions from failed audits</f>
        <v>#NAME?</v>
      </c>
    </row>
    <row r="207" spans="2:2">
      <c r="B207" t="s">
        <v>169</v>
      </c>
    </row>
    <row r="208" spans="2:2">
      <c r="B208" t="s">
        <v>125</v>
      </c>
    </row>
    <row r="209" spans="2:2">
      <c r="B209" t="s">
        <v>170</v>
      </c>
    </row>
    <row r="210" spans="2:2">
      <c r="B210" t="s">
        <v>171</v>
      </c>
    </row>
    <row r="211" spans="2:2">
      <c r="B211" t="s">
        <v>172</v>
      </c>
    </row>
    <row r="212" spans="2:2">
      <c r="B212" t="s">
        <v>129</v>
      </c>
    </row>
    <row r="213" spans="2:2">
      <c r="B213" t="s">
        <v>130</v>
      </c>
    </row>
    <row r="214" spans="2:2">
      <c r="B214" t="s">
        <v>91</v>
      </c>
    </row>
    <row r="215" spans="2:2">
      <c r="B215" t="s">
        <v>131</v>
      </c>
    </row>
    <row r="216" spans="2:2">
      <c r="B216" t="s">
        <v>93</v>
      </c>
    </row>
    <row r="217" spans="2:2">
      <c r="B217" t="s">
        <v>132</v>
      </c>
    </row>
    <row r="218" spans="2:2">
      <c r="B218" t="s">
        <v>173</v>
      </c>
    </row>
    <row r="219" spans="2:2">
      <c r="B219" t="s">
        <v>95</v>
      </c>
    </row>
    <row r="220" spans="2:2">
      <c r="B220" t="s">
        <v>133</v>
      </c>
    </row>
    <row r="221" spans="2:2">
      <c r="B221" t="s">
        <v>134</v>
      </c>
    </row>
    <row r="222" spans="2:2">
      <c r="B222" t="s">
        <v>135</v>
      </c>
    </row>
    <row r="223" spans="2:2">
      <c r="B223" t="s">
        <v>96</v>
      </c>
    </row>
    <row r="224" spans="2:2">
      <c r="B224" t="s">
        <v>136</v>
      </c>
    </row>
    <row r="225" spans="2:2">
      <c r="B225" t="s">
        <v>137</v>
      </c>
    </row>
    <row r="226" spans="2:2">
      <c r="B226" t="s">
        <v>138</v>
      </c>
    </row>
    <row r="227" spans="2:2">
      <c r="B227" t="s">
        <v>81</v>
      </c>
    </row>
    <row r="229" spans="2:2">
      <c r="B229" t="s">
        <v>174</v>
      </c>
    </row>
    <row r="230" spans="2:2">
      <c r="B230" t="e" cm="1">
        <f t="array" ref="B230">-- Purpose: This Query is used to pull the Count of open Tickets for the QA team.</f>
        <v>#NAME?</v>
      </c>
    </row>
    <row r="231" spans="2:2">
      <c r="B231" t="s">
        <v>175</v>
      </c>
    </row>
    <row r="232" spans="2:2">
      <c r="B232" t="s">
        <v>176</v>
      </c>
    </row>
    <row r="233" spans="2:2">
      <c r="B233" t="s">
        <v>177</v>
      </c>
    </row>
    <row r="234" spans="2:2">
      <c r="B234" t="s">
        <v>131</v>
      </c>
    </row>
    <row r="235" spans="2:2">
      <c r="B235" t="s">
        <v>178</v>
      </c>
    </row>
    <row r="236" spans="2:2">
      <c r="B236" t="s">
        <v>132</v>
      </c>
    </row>
    <row r="237" spans="2:2">
      <c r="B237" t="s">
        <v>179</v>
      </c>
    </row>
    <row r="238" spans="2:2">
      <c r="B238" t="s">
        <v>180</v>
      </c>
    </row>
    <row r="239" spans="2:2">
      <c r="B239" t="s">
        <v>181</v>
      </c>
    </row>
    <row r="240" spans="2:2">
      <c r="B240" t="s">
        <v>182</v>
      </c>
    </row>
    <row r="241" spans="2:2">
      <c r="B241" t="s">
        <v>183</v>
      </c>
    </row>
    <row r="242" spans="2:2">
      <c r="B242" t="s">
        <v>184</v>
      </c>
    </row>
    <row r="243" spans="2:2">
      <c r="B243" t="s">
        <v>101</v>
      </c>
    </row>
    <row r="244" spans="2:2">
      <c r="B244" t="s">
        <v>102</v>
      </c>
    </row>
    <row r="245" spans="2:2">
      <c r="B245" t="s">
        <v>81</v>
      </c>
    </row>
    <row r="248" spans="2:2">
      <c r="B248" t="e" cm="1">
        <f t="array" ref="B248">-- Description: This script is used to get the list of active VOC units that participated in LETS TALK FLIK</f>
        <v>#NAME?</v>
      </c>
    </row>
    <row r="250" spans="2:2">
      <c r="B250" t="e" cm="1">
        <f t="array" ref="B250">-- get list of active VOC units that participated in LETS TALK FLIK</f>
        <v>#NAME?</v>
      </c>
    </row>
    <row r="251" spans="2:2">
      <c r="B251" t="s">
        <v>185</v>
      </c>
    </row>
    <row r="252" spans="2:2">
      <c r="B252" t="s">
        <v>186</v>
      </c>
    </row>
    <row r="253" spans="2:2">
      <c r="B253" t="s">
        <v>187</v>
      </c>
    </row>
    <row r="254" spans="2:2">
      <c r="B254" t="s">
        <v>188</v>
      </c>
    </row>
    <row r="255" spans="2:2">
      <c r="B255" t="s">
        <v>189</v>
      </c>
    </row>
    <row r="256" spans="2:2">
      <c r="B256" t="s">
        <v>190</v>
      </c>
    </row>
    <row r="257" spans="2:2">
      <c r="B257" t="s">
        <v>191</v>
      </c>
    </row>
    <row r="259" spans="2:2">
      <c r="B259" t="e" cm="1">
        <f t="array" ref="B259">-- Count of Monthly VOC Responses by SDDR</f>
        <v>#NAME?</v>
      </c>
    </row>
    <row r="260" spans="2:2">
      <c r="B260" t="s">
        <v>192</v>
      </c>
    </row>
    <row r="261" spans="2:2">
      <c r="B261" t="s">
        <v>193</v>
      </c>
    </row>
    <row r="262" spans="2:2">
      <c r="B262" t="s">
        <v>91</v>
      </c>
    </row>
    <row r="263" spans="2:2">
      <c r="B263" t="s">
        <v>194</v>
      </c>
    </row>
    <row r="264" spans="2:2">
      <c r="B264" t="s">
        <v>195</v>
      </c>
    </row>
    <row r="265" spans="2:2">
      <c r="B265" t="s">
        <v>196</v>
      </c>
    </row>
    <row r="266" spans="2:2">
      <c r="B266" t="s">
        <v>132</v>
      </c>
    </row>
    <row r="267" spans="2:2">
      <c r="B267" t="s">
        <v>179</v>
      </c>
    </row>
    <row r="268" spans="2:2">
      <c r="B268" t="s">
        <v>197</v>
      </c>
    </row>
    <row r="269" spans="2:2">
      <c r="B269" t="s">
        <v>198</v>
      </c>
    </row>
    <row r="270" spans="2:2">
      <c r="B270" t="s">
        <v>199</v>
      </c>
    </row>
    <row r="271" spans="2:2">
      <c r="B271" t="s">
        <v>101</v>
      </c>
    </row>
    <row r="272" spans="2:2">
      <c r="B272" t="s">
        <v>102</v>
      </c>
    </row>
    <row r="273" spans="2:2">
      <c r="B273" t="s">
        <v>81</v>
      </c>
    </row>
    <row r="275" spans="2:2">
      <c r="B275" t="s">
        <v>200</v>
      </c>
    </row>
    <row r="276" spans="2:2">
      <c r="B276" t="s">
        <v>201</v>
      </c>
    </row>
    <row r="277" spans="2:2">
      <c r="B277" t="s">
        <v>202</v>
      </c>
    </row>
    <row r="278" spans="2:2">
      <c r="B278" t="s">
        <v>203</v>
      </c>
    </row>
    <row r="279" spans="2:2">
      <c r="B279" t="s">
        <v>204</v>
      </c>
    </row>
    <row r="280" spans="2:2">
      <c r="B280" t="s">
        <v>205</v>
      </c>
    </row>
    <row r="281" spans="2:2">
      <c r="B281" t="s">
        <v>206</v>
      </c>
    </row>
    <row r="282" spans="2:2">
      <c r="B282" t="s">
        <v>207</v>
      </c>
    </row>
    <row r="283" spans="2:2">
      <c r="B283" t="s">
        <v>208</v>
      </c>
    </row>
    <row r="284" spans="2:2">
      <c r="B284" t="s">
        <v>209</v>
      </c>
    </row>
    <row r="286" spans="2:2">
      <c r="B286" t="e" cm="1">
        <f t="array" ref="B286">-- Count of all AI Sentiment Comment by SDDR</f>
        <v>#NAME?</v>
      </c>
    </row>
    <row r="287" spans="2:2">
      <c r="B287" t="s">
        <v>210</v>
      </c>
    </row>
    <row r="288" spans="2:2">
      <c r="B288" t="s">
        <v>211</v>
      </c>
    </row>
    <row r="289" spans="2:2">
      <c r="B289" t="s">
        <v>212</v>
      </c>
    </row>
    <row r="290" spans="2:2">
      <c r="B290" t="s">
        <v>213</v>
      </c>
    </row>
    <row r="291" spans="2:2">
      <c r="B291" t="s">
        <v>101</v>
      </c>
    </row>
    <row r="292" spans="2:2">
      <c r="B292" t="s">
        <v>102</v>
      </c>
    </row>
    <row r="293" spans="2:2">
      <c r="B293" t="s">
        <v>81</v>
      </c>
    </row>
    <row r="295" spans="2:2">
      <c r="B295" t="e" cm="1">
        <f t="array" ref="B295">-- Does not include Sari Feltman at the moment</f>
        <v>#NAME?</v>
      </c>
    </row>
    <row r="296" spans="2:2">
      <c r="B296" t="e" cm="1">
        <f t="array" ref="B296">-- Count of each AI Sentiment by SDDR</f>
        <v>#NAME?</v>
      </c>
    </row>
    <row r="297" spans="2:2">
      <c r="B297" t="s">
        <v>214</v>
      </c>
    </row>
    <row r="298" spans="2:2">
      <c r="B298" t="s">
        <v>215</v>
      </c>
    </row>
    <row r="299" spans="2:2">
      <c r="B299" t="s">
        <v>216</v>
      </c>
    </row>
    <row r="300" spans="2:2">
      <c r="B300" t="s">
        <v>217</v>
      </c>
    </row>
    <row r="301" spans="2:2">
      <c r="B301" t="s">
        <v>218</v>
      </c>
    </row>
    <row r="302" spans="2:2">
      <c r="B302" t="s">
        <v>212</v>
      </c>
    </row>
    <row r="303" spans="2:2">
      <c r="B303" t="s">
        <v>213</v>
      </c>
    </row>
    <row r="304" spans="2:2">
      <c r="B304" t="s">
        <v>219</v>
      </c>
    </row>
    <row r="305" spans="2:2">
      <c r="B305" t="s">
        <v>220</v>
      </c>
    </row>
    <row r="306" spans="2:2">
      <c r="B306" t="s">
        <v>81</v>
      </c>
    </row>
    <row r="307" spans="2:2">
      <c r="B307" t="e" cm="1">
        <f t="array" ref="B307">-- Percentage of each AI Sentiment by SDDR</f>
        <v>#NAME?</v>
      </c>
    </row>
    <row r="308" spans="2:2">
      <c r="B308" t="s">
        <v>221</v>
      </c>
    </row>
    <row r="309" spans="2:2">
      <c r="B309" t="s">
        <v>222</v>
      </c>
    </row>
    <row r="310" spans="2:2">
      <c r="B310" t="s">
        <v>223</v>
      </c>
    </row>
    <row r="311" spans="2:2">
      <c r="B311" t="s">
        <v>224</v>
      </c>
    </row>
    <row r="312" spans="2:2">
      <c r="B312" t="s">
        <v>225</v>
      </c>
    </row>
    <row r="313" spans="2:2">
      <c r="B313" t="s">
        <v>226</v>
      </c>
    </row>
    <row r="314" spans="2:2">
      <c r="B314" t="s">
        <v>212</v>
      </c>
    </row>
    <row r="315" spans="2:2">
      <c r="B315" t="s">
        <v>213</v>
      </c>
    </row>
    <row r="316" spans="2:2">
      <c r="B316" t="s">
        <v>219</v>
      </c>
    </row>
    <row r="317" spans="2:2">
      <c r="B317" t="s">
        <v>220</v>
      </c>
    </row>
    <row r="318" spans="2:2">
      <c r="B318" t="s">
        <v>81</v>
      </c>
    </row>
    <row r="320" spans="2:2">
      <c r="B320" t="s">
        <v>227</v>
      </c>
    </row>
    <row r="321" spans="2:2">
      <c r="B321" t="s">
        <v>228</v>
      </c>
    </row>
    <row r="322" spans="2:2">
      <c r="B322" t="s">
        <v>229</v>
      </c>
    </row>
    <row r="323" spans="2:2">
      <c r="B323" t="s">
        <v>230</v>
      </c>
    </row>
    <row r="324" spans="2:2">
      <c r="B324" t="s">
        <v>231</v>
      </c>
    </row>
    <row r="325" spans="2:2">
      <c r="B325" t="s">
        <v>167</v>
      </c>
    </row>
    <row r="326" spans="2:2">
      <c r="B326" t="s">
        <v>232</v>
      </c>
    </row>
    <row r="327" spans="2:2">
      <c r="B327" t="s">
        <v>233</v>
      </c>
    </row>
    <row r="328" spans="2:2">
      <c r="B328" t="s">
        <v>234</v>
      </c>
    </row>
    <row r="329" spans="2:2">
      <c r="B329" t="s">
        <v>81</v>
      </c>
    </row>
    <row r="330" spans="2:2">
      <c r="B330" t="s">
        <v>235</v>
      </c>
    </row>
    <row r="331" spans="2:2">
      <c r="B331" t="s">
        <v>236</v>
      </c>
    </row>
    <row r="332" spans="2:2">
      <c r="B332" t="s">
        <v>237</v>
      </c>
    </row>
    <row r="333" spans="2:2">
      <c r="B333" t="s">
        <v>238</v>
      </c>
    </row>
    <row r="334" spans="2:2">
      <c r="B334" t="s">
        <v>239</v>
      </c>
    </row>
    <row r="335" spans="2:2">
      <c r="B335" t="s">
        <v>240</v>
      </c>
    </row>
    <row r="336" spans="2:2">
      <c r="B336" t="s">
        <v>241</v>
      </c>
    </row>
    <row r="337" spans="2:2">
      <c r="B337" t="s">
        <v>81</v>
      </c>
    </row>
    <row r="338" spans="2:2">
      <c r="B338" t="s">
        <v>242</v>
      </c>
    </row>
    <row r="339" spans="2:2">
      <c r="B339" t="s">
        <v>243</v>
      </c>
    </row>
    <row r="340" spans="2:2">
      <c r="B340" t="s">
        <v>244</v>
      </c>
    </row>
    <row r="341" spans="2:2">
      <c r="B341" t="s">
        <v>245</v>
      </c>
    </row>
    <row r="342" spans="2:2">
      <c r="B342" t="s">
        <v>246</v>
      </c>
    </row>
    <row r="343" spans="2:2">
      <c r="B343" t="s">
        <v>247</v>
      </c>
    </row>
    <row r="344" spans="2:2">
      <c r="B344" t="s">
        <v>248</v>
      </c>
    </row>
    <row r="345" spans="2:2">
      <c r="B345" t="s">
        <v>249</v>
      </c>
    </row>
    <row r="346" spans="2:2">
      <c r="B346" t="s">
        <v>220</v>
      </c>
    </row>
    <row r="347" spans="2:2">
      <c r="B347" t="s">
        <v>81</v>
      </c>
    </row>
    <row r="349" spans="2:2">
      <c r="B349" t="s">
        <v>250</v>
      </c>
    </row>
    <row r="350" spans="2:2">
      <c r="B350" t="s">
        <v>251</v>
      </c>
    </row>
    <row r="352" spans="2:2">
      <c r="B352" t="s">
        <v>252</v>
      </c>
    </row>
    <row r="353" spans="2:2">
      <c r="B353" t="s">
        <v>253</v>
      </c>
    </row>
    <row r="354" spans="2:2">
      <c r="B354" t="s">
        <v>254</v>
      </c>
    </row>
    <row r="355" spans="2:2">
      <c r="B355" t="s">
        <v>255</v>
      </c>
    </row>
    <row r="356" spans="2:2">
      <c r="B356" t="s">
        <v>256</v>
      </c>
    </row>
    <row r="357" spans="2:2">
      <c r="B357" t="s">
        <v>257</v>
      </c>
    </row>
    <row r="358" spans="2:2">
      <c r="B358" t="s">
        <v>258</v>
      </c>
    </row>
    <row r="359" spans="2:2">
      <c r="B359" t="s">
        <v>259</v>
      </c>
    </row>
    <row r="360" spans="2:2">
      <c r="B360" t="s">
        <v>260</v>
      </c>
    </row>
    <row r="361" spans="2:2">
      <c r="B361" t="s">
        <v>261</v>
      </c>
    </row>
    <row r="362" spans="2:2">
      <c r="B362" t="s">
        <v>262</v>
      </c>
    </row>
    <row r="363" spans="2:2">
      <c r="B363" t="s">
        <v>263</v>
      </c>
    </row>
    <row r="364" spans="2:2">
      <c r="B364" t="s">
        <v>264</v>
      </c>
    </row>
    <row r="365" spans="2:2">
      <c r="B365" t="s">
        <v>265</v>
      </c>
    </row>
    <row r="366" spans="2:2">
      <c r="B366" t="s">
        <v>102</v>
      </c>
    </row>
    <row r="367" spans="2:2">
      <c r="B367" t="s">
        <v>81</v>
      </c>
    </row>
    <row r="368" spans="2:2">
      <c r="B368" t="s">
        <v>266</v>
      </c>
    </row>
    <row r="369" spans="2:2">
      <c r="B369" t="s">
        <v>267</v>
      </c>
    </row>
    <row r="370" spans="2:2">
      <c r="B370" t="s">
        <v>268</v>
      </c>
    </row>
    <row r="371" spans="2:2">
      <c r="B371" t="s">
        <v>213</v>
      </c>
    </row>
    <row r="372" spans="2:2">
      <c r="B372" t="s">
        <v>269</v>
      </c>
    </row>
    <row r="373" spans="2:2">
      <c r="B373" t="s">
        <v>270</v>
      </c>
    </row>
    <row r="374" spans="2:2">
      <c r="B374" t="s">
        <v>102</v>
      </c>
    </row>
    <row r="375" spans="2:2">
      <c r="B375" t="s">
        <v>81</v>
      </c>
    </row>
    <row r="377" spans="2:2">
      <c r="B377" t="s">
        <v>271</v>
      </c>
    </row>
    <row r="378" spans="2:2">
      <c r="B378" t="s">
        <v>272</v>
      </c>
    </row>
    <row r="379" spans="2:2">
      <c r="B379" t="s">
        <v>273</v>
      </c>
    </row>
    <row r="380" spans="2:2">
      <c r="B380" t="s">
        <v>274</v>
      </c>
    </row>
    <row r="381" spans="2:2">
      <c r="B381" t="s">
        <v>81</v>
      </c>
    </row>
    <row r="383" spans="2:2">
      <c r="B383" t="s">
        <v>275</v>
      </c>
    </row>
    <row r="384" spans="2:2">
      <c r="B384" t="s">
        <v>276</v>
      </c>
    </row>
    <row r="385" spans="2:2">
      <c r="B385" t="s">
        <v>277</v>
      </c>
    </row>
    <row r="386" spans="2:2">
      <c r="B386" t="s">
        <v>278</v>
      </c>
    </row>
    <row r="387" spans="2:2">
      <c r="B387" t="s">
        <v>279</v>
      </c>
    </row>
    <row r="388" spans="2:2">
      <c r="B388" t="s">
        <v>158</v>
      </c>
    </row>
    <row r="389" spans="2:2">
      <c r="B389" t="s">
        <v>159</v>
      </c>
    </row>
    <row r="390" spans="2:2">
      <c r="B390" t="s">
        <v>280</v>
      </c>
    </row>
    <row r="391" spans="2:2">
      <c r="B391" t="s">
        <v>81</v>
      </c>
    </row>
    <row r="402" spans="2:2">
      <c r="B402" t="e" cm="1">
        <f t="array" ref="B402">-- QA Avg Audit Score Overall</f>
        <v>#NAME?</v>
      </c>
    </row>
    <row r="403" spans="2:2">
      <c r="B403" t="s">
        <v>339</v>
      </c>
    </row>
    <row r="404" spans="2:2">
      <c r="B404" t="s">
        <v>340</v>
      </c>
    </row>
    <row r="405" spans="2:2">
      <c r="B405" t="s">
        <v>100</v>
      </c>
    </row>
    <row r="406" spans="2:2">
      <c r="B406" t="s">
        <v>341</v>
      </c>
    </row>
    <row r="407" spans="2:2">
      <c r="B407" t="s">
        <v>342</v>
      </c>
    </row>
    <row r="408" spans="2:2">
      <c r="B408" t="s">
        <v>81</v>
      </c>
    </row>
    <row r="410" spans="2:2">
      <c r="B410" t="s">
        <v>343</v>
      </c>
    </row>
    <row r="411" spans="2:2">
      <c r="B411" t="s">
        <v>344</v>
      </c>
    </row>
    <row r="412" spans="2:2">
      <c r="B412" t="s">
        <v>345</v>
      </c>
    </row>
    <row r="413" spans="2:2">
      <c r="B413" t="s">
        <v>106</v>
      </c>
    </row>
    <row r="414" spans="2:2">
      <c r="B414" t="s">
        <v>100</v>
      </c>
    </row>
    <row r="415" spans="2:2">
      <c r="B415" t="s">
        <v>341</v>
      </c>
    </row>
    <row r="416" spans="2:2">
      <c r="B416" t="s">
        <v>342</v>
      </c>
    </row>
    <row r="417" spans="2:2">
      <c r="B417" t="s">
        <v>81</v>
      </c>
    </row>
    <row r="419" spans="2:2">
      <c r="B419" t="e" cm="1">
        <f t="array" ref="B419">-- QA Avg Days to Close Tickets Overall</f>
        <v>#NAME?</v>
      </c>
    </row>
    <row r="420" spans="2:2">
      <c r="B420" t="s">
        <v>346</v>
      </c>
    </row>
    <row r="421" spans="2:2">
      <c r="B421" t="s">
        <v>347</v>
      </c>
    </row>
    <row r="422" spans="2:2">
      <c r="B422" t="s">
        <v>348</v>
      </c>
    </row>
    <row r="423" spans="2:2">
      <c r="B423" t="s">
        <v>349</v>
      </c>
    </row>
    <row r="424" spans="2:2">
      <c r="B424" t="s">
        <v>341</v>
      </c>
    </row>
    <row r="425" spans="2:2">
      <c r="B425" t="s">
        <v>342</v>
      </c>
    </row>
    <row r="426" spans="2:2">
      <c r="B426" t="s">
        <v>81</v>
      </c>
    </row>
    <row r="428" spans="2:2">
      <c r="B428" t="e" cm="1">
        <f t="array" ref="B428">-- QA Avg Days to Close Tickets from failed audits Overall</f>
        <v>#NAME?</v>
      </c>
    </row>
    <row r="429" spans="2:2">
      <c r="B429" t="s">
        <v>350</v>
      </c>
    </row>
    <row r="430" spans="2:2">
      <c r="B430" t="s">
        <v>351</v>
      </c>
    </row>
    <row r="431" spans="2:2">
      <c r="B431" t="s">
        <v>155</v>
      </c>
    </row>
    <row r="432" spans="2:2">
      <c r="B432" t="s">
        <v>166</v>
      </c>
    </row>
    <row r="433" spans="2:2">
      <c r="B433" t="s">
        <v>167</v>
      </c>
    </row>
    <row r="434" spans="2:2">
      <c r="B434" t="s">
        <v>352</v>
      </c>
    </row>
    <row r="435" spans="2:2">
      <c r="B435" t="s">
        <v>158</v>
      </c>
    </row>
    <row r="436" spans="2:2">
      <c r="B436" t="s">
        <v>159</v>
      </c>
    </row>
    <row r="437" spans="2:2">
      <c r="B437" t="s">
        <v>353</v>
      </c>
    </row>
    <row r="438" spans="2:2">
      <c r="B438" t="s">
        <v>354</v>
      </c>
    </row>
    <row r="439" spans="2:2">
      <c r="B439" t="s">
        <v>81</v>
      </c>
    </row>
    <row r="441" spans="2:2">
      <c r="B441" t="e">
        <f>-- VOC Percentage of Positive, Negative, Neutral Comments Overall</f>
        <v>#NAME?</v>
      </c>
    </row>
    <row r="442" spans="2:2">
      <c r="B442" t="s">
        <v>355</v>
      </c>
    </row>
    <row r="443" spans="2:2">
      <c r="B443" t="s">
        <v>356</v>
      </c>
    </row>
    <row r="444" spans="2:2">
      <c r="B444" t="s">
        <v>223</v>
      </c>
    </row>
    <row r="445" spans="2:2">
      <c r="B445" t="s">
        <v>224</v>
      </c>
    </row>
    <row r="446" spans="2:2">
      <c r="B446" t="s">
        <v>225</v>
      </c>
    </row>
    <row r="447" spans="2:2">
      <c r="B447" t="s">
        <v>357</v>
      </c>
    </row>
    <row r="448" spans="2:2">
      <c r="B448" t="s">
        <v>212</v>
      </c>
    </row>
    <row r="449" spans="2:2">
      <c r="B449" t="s">
        <v>213</v>
      </c>
    </row>
    <row r="450" spans="2:2">
      <c r="B450" t="s">
        <v>358</v>
      </c>
    </row>
    <row r="451" spans="2:2">
      <c r="B451" t="s">
        <v>359</v>
      </c>
    </row>
    <row r="452" spans="2:2">
      <c r="B452" t="s">
        <v>81</v>
      </c>
    </row>
    <row r="454" spans="2:2">
      <c r="B454" t="s">
        <v>360</v>
      </c>
    </row>
    <row r="455" spans="2:2">
      <c r="B455" t="s">
        <v>361</v>
      </c>
    </row>
    <row r="456" spans="2:2">
      <c r="B456" t="s">
        <v>362</v>
      </c>
    </row>
    <row r="457" spans="2:2">
      <c r="B457" t="s">
        <v>363</v>
      </c>
    </row>
    <row r="458" spans="2:2">
      <c r="B458" t="s">
        <v>238</v>
      </c>
    </row>
    <row r="459" spans="2:2">
      <c r="B459" t="s">
        <v>239</v>
      </c>
    </row>
    <row r="460" spans="2:2">
      <c r="B460" t="s">
        <v>213</v>
      </c>
    </row>
    <row r="461" spans="2:2">
      <c r="B461" t="s">
        <v>364</v>
      </c>
    </row>
    <row r="462" spans="2:2">
      <c r="B462" t="s">
        <v>365</v>
      </c>
    </row>
    <row r="463" spans="2:2">
      <c r="B463" t="s">
        <v>81</v>
      </c>
    </row>
    <row r="464" spans="2:2">
      <c r="B464" t="s">
        <v>366</v>
      </c>
    </row>
    <row r="465" spans="2:2">
      <c r="B465" t="s">
        <v>367</v>
      </c>
    </row>
    <row r="466" spans="2:2">
      <c r="B466" t="s">
        <v>244</v>
      </c>
    </row>
    <row r="467" spans="2:2">
      <c r="B467" t="s">
        <v>245</v>
      </c>
    </row>
    <row r="468" spans="2:2">
      <c r="B468" t="s">
        <v>246</v>
      </c>
    </row>
    <row r="469" spans="2:2">
      <c r="B469" t="s">
        <v>368</v>
      </c>
    </row>
    <row r="470" spans="2:2">
      <c r="B470" t="s">
        <v>248</v>
      </c>
    </row>
    <row r="471" spans="2:2">
      <c r="B471" t="s">
        <v>359</v>
      </c>
    </row>
    <row r="472" spans="2:2">
      <c r="B472" t="s">
        <v>81</v>
      </c>
    </row>
    <row r="474" spans="2:2">
      <c r="B474" t="s">
        <v>369</v>
      </c>
    </row>
    <row r="475" spans="2:2">
      <c r="B475" t="s">
        <v>370</v>
      </c>
    </row>
    <row r="476" spans="2:2">
      <c r="B476" t="s">
        <v>371</v>
      </c>
    </row>
    <row r="477" spans="2:2">
      <c r="B477" t="s">
        <v>268</v>
      </c>
    </row>
    <row r="478" spans="2:2">
      <c r="B478" t="s">
        <v>213</v>
      </c>
    </row>
    <row r="479" spans="2:2">
      <c r="B479" t="s">
        <v>372</v>
      </c>
    </row>
    <row r="480" spans="2:2">
      <c r="B480" t="s">
        <v>270</v>
      </c>
    </row>
    <row r="481" spans="2:2">
      <c r="B481" t="s">
        <v>342</v>
      </c>
    </row>
    <row r="482" spans="2:2">
      <c r="B482" t="s">
        <v>81</v>
      </c>
    </row>
    <row r="483" spans="2:2">
      <c r="B483" t="s">
        <v>373</v>
      </c>
    </row>
    <row r="484" spans="2:2">
      <c r="B484" t="s">
        <v>374</v>
      </c>
    </row>
    <row r="485" spans="2:2">
      <c r="B485" t="s">
        <v>375</v>
      </c>
    </row>
    <row r="486" spans="2:2">
      <c r="B486" t="s">
        <v>376</v>
      </c>
    </row>
    <row r="487" spans="2:2">
      <c r="B487" t="s">
        <v>377</v>
      </c>
    </row>
    <row r="488" spans="2:2">
      <c r="B488" t="s">
        <v>159</v>
      </c>
    </row>
    <row r="489" spans="2:2">
      <c r="B489" t="s">
        <v>378</v>
      </c>
    </row>
    <row r="490" spans="2:2">
      <c r="B490" t="s">
        <v>81</v>
      </c>
    </row>
    <row r="493" spans="2:2">
      <c r="B493" t="s">
        <v>281</v>
      </c>
    </row>
    <row r="494" spans="2:2">
      <c r="B494" t="s">
        <v>90</v>
      </c>
    </row>
    <row r="495" spans="2:2">
      <c r="B495" t="s">
        <v>282</v>
      </c>
    </row>
    <row r="496" spans="2:2">
      <c r="B496" t="s">
        <v>283</v>
      </c>
    </row>
    <row r="497" spans="2:2">
      <c r="B497" t="s">
        <v>90</v>
      </c>
    </row>
    <row r="498" spans="2:2">
      <c r="B498" t="s">
        <v>284</v>
      </c>
    </row>
    <row r="499" spans="2:2">
      <c r="B499" t="s">
        <v>283</v>
      </c>
    </row>
    <row r="500" spans="2:2">
      <c r="B500" t="s">
        <v>90</v>
      </c>
    </row>
    <row r="501" spans="2:2">
      <c r="B501" t="s">
        <v>285</v>
      </c>
    </row>
    <row r="502" spans="2:2">
      <c r="B502" t="s">
        <v>283</v>
      </c>
    </row>
    <row r="503" spans="2:2">
      <c r="B503" t="s">
        <v>90</v>
      </c>
    </row>
    <row r="504" spans="2:2">
      <c r="B504" t="s">
        <v>286</v>
      </c>
    </row>
    <row r="505" spans="2:2">
      <c r="B505" t="s">
        <v>283</v>
      </c>
    </row>
    <row r="506" spans="2:2">
      <c r="B506" t="s">
        <v>90</v>
      </c>
    </row>
    <row r="507" spans="2:2">
      <c r="B507" t="s">
        <v>287</v>
      </c>
    </row>
    <row r="508" spans="2:2">
      <c r="B508" t="s">
        <v>283</v>
      </c>
    </row>
    <row r="509" spans="2:2">
      <c r="B509" t="s">
        <v>90</v>
      </c>
    </row>
    <row r="510" spans="2:2">
      <c r="B510" t="s">
        <v>288</v>
      </c>
    </row>
    <row r="511" spans="2:2">
      <c r="B511" t="s">
        <v>81</v>
      </c>
    </row>
    <row r="513" spans="2:2">
      <c r="B513" t="s">
        <v>289</v>
      </c>
    </row>
    <row r="514" spans="2:2">
      <c r="B514" t="s">
        <v>290</v>
      </c>
    </row>
    <row r="515" spans="2:2">
      <c r="B515" t="s">
        <v>291</v>
      </c>
    </row>
    <row r="516" spans="2:2">
      <c r="B516" t="s">
        <v>283</v>
      </c>
    </row>
    <row r="517" spans="2:2">
      <c r="B517" t="s">
        <v>90</v>
      </c>
    </row>
    <row r="518" spans="2:2">
      <c r="B518" t="s">
        <v>292</v>
      </c>
    </row>
    <row r="519" spans="2:2">
      <c r="B519" t="s">
        <v>81</v>
      </c>
    </row>
    <row r="521" spans="2:2">
      <c r="B521" t="s">
        <v>293</v>
      </c>
    </row>
    <row r="522" spans="2:2">
      <c r="B522" t="s">
        <v>90</v>
      </c>
    </row>
    <row r="523" spans="2:2">
      <c r="B523" t="s">
        <v>294</v>
      </c>
    </row>
    <row r="524" spans="2:2">
      <c r="B524" t="s">
        <v>283</v>
      </c>
    </row>
    <row r="525" spans="2:2">
      <c r="B525" t="s">
        <v>90</v>
      </c>
    </row>
    <row r="526" spans="2:2">
      <c r="B526" t="s">
        <v>295</v>
      </c>
    </row>
    <row r="527" spans="2:2">
      <c r="B527" t="s">
        <v>283</v>
      </c>
    </row>
    <row r="528" spans="2:2">
      <c r="B528" t="s">
        <v>90</v>
      </c>
    </row>
    <row r="529" spans="2:2">
      <c r="B529" t="s">
        <v>296</v>
      </c>
    </row>
    <row r="530" spans="2:2">
      <c r="B530" t="s">
        <v>283</v>
      </c>
    </row>
    <row r="531" spans="2:2">
      <c r="B531" t="s">
        <v>90</v>
      </c>
    </row>
    <row r="532" spans="2:2">
      <c r="B532" t="s">
        <v>297</v>
      </c>
    </row>
    <row r="533" spans="2:2">
      <c r="B533" t="s">
        <v>283</v>
      </c>
    </row>
    <row r="534" spans="2:2">
      <c r="B534" t="s">
        <v>90</v>
      </c>
    </row>
    <row r="535" spans="2:2">
      <c r="B535" t="s">
        <v>298</v>
      </c>
    </row>
    <row r="536" spans="2:2">
      <c r="B536" t="s">
        <v>283</v>
      </c>
    </row>
    <row r="537" spans="2:2">
      <c r="B537" t="s">
        <v>90</v>
      </c>
    </row>
    <row r="538" spans="2:2">
      <c r="B538" t="s">
        <v>299</v>
      </c>
    </row>
    <row r="539" spans="2:2">
      <c r="B539" t="s">
        <v>283</v>
      </c>
    </row>
    <row r="540" spans="2:2">
      <c r="B540" t="s">
        <v>90</v>
      </c>
    </row>
    <row r="541" spans="2:2">
      <c r="B541" t="s">
        <v>300</v>
      </c>
    </row>
    <row r="542" spans="2:2">
      <c r="B542" t="s">
        <v>283</v>
      </c>
    </row>
    <row r="543" spans="2:2">
      <c r="B543" t="s">
        <v>90</v>
      </c>
    </row>
    <row r="544" spans="2:2">
      <c r="B544" t="s">
        <v>301</v>
      </c>
    </row>
    <row r="545" spans="2:2">
      <c r="B545" t="s">
        <v>283</v>
      </c>
    </row>
    <row r="546" spans="2:2">
      <c r="B546" t="s">
        <v>90</v>
      </c>
    </row>
    <row r="547" spans="2:2">
      <c r="B547" t="s">
        <v>302</v>
      </c>
    </row>
    <row r="548" spans="2:2">
      <c r="B548" t="s">
        <v>283</v>
      </c>
    </row>
    <row r="549" spans="2:2">
      <c r="B549" t="s">
        <v>90</v>
      </c>
    </row>
    <row r="550" spans="2:2">
      <c r="B550" t="s">
        <v>303</v>
      </c>
    </row>
    <row r="551" spans="2:2">
      <c r="B551" t="s">
        <v>283</v>
      </c>
    </row>
    <row r="552" spans="2:2">
      <c r="B552" t="s">
        <v>90</v>
      </c>
    </row>
    <row r="553" spans="2:2">
      <c r="B553" t="s">
        <v>304</v>
      </c>
    </row>
    <row r="554" spans="2:2">
      <c r="B554" t="s">
        <v>81</v>
      </c>
    </row>
    <row r="556" spans="2:2">
      <c r="B556" t="s">
        <v>305</v>
      </c>
    </row>
    <row r="557" spans="2:2">
      <c r="B557" t="s">
        <v>290</v>
      </c>
    </row>
    <row r="558" spans="2:2">
      <c r="B558" t="s">
        <v>306</v>
      </c>
    </row>
    <row r="559" spans="2:2">
      <c r="B559" t="s">
        <v>283</v>
      </c>
    </row>
    <row r="560" spans="2:2">
      <c r="B560" t="s">
        <v>90</v>
      </c>
    </row>
    <row r="561" spans="2:2">
      <c r="B561" t="s">
        <v>307</v>
      </c>
    </row>
    <row r="562" spans="2:2">
      <c r="B562" t="s">
        <v>81</v>
      </c>
    </row>
    <row r="564" spans="2:2">
      <c r="B564" t="s">
        <v>308</v>
      </c>
    </row>
    <row r="565" spans="2:2">
      <c r="B565" t="s">
        <v>309</v>
      </c>
    </row>
    <row r="566" spans="2:2">
      <c r="B566" t="s">
        <v>283</v>
      </c>
    </row>
    <row r="567" spans="2:2">
      <c r="B567" t="s">
        <v>310</v>
      </c>
    </row>
    <row r="568" spans="2:2">
      <c r="B568" t="s">
        <v>311</v>
      </c>
    </row>
    <row r="569" spans="2:2">
      <c r="B569" t="s">
        <v>312</v>
      </c>
    </row>
    <row r="570" spans="2:2">
      <c r="B570" t="s">
        <v>81</v>
      </c>
    </row>
    <row r="572" spans="2:2">
      <c r="B572" t="s">
        <v>379</v>
      </c>
    </row>
    <row r="573" spans="2:2">
      <c r="B573" t="s">
        <v>380</v>
      </c>
    </row>
    <row r="574" spans="2:2">
      <c r="B574" t="s">
        <v>315</v>
      </c>
    </row>
    <row r="575" spans="2:2">
      <c r="B575" t="s">
        <v>316</v>
      </c>
    </row>
    <row r="576" spans="2:2">
      <c r="B576" t="s">
        <v>317</v>
      </c>
    </row>
    <row r="577" spans="2:2">
      <c r="B577" t="s">
        <v>381</v>
      </c>
    </row>
    <row r="578" spans="2:2">
      <c r="B578" t="s">
        <v>81</v>
      </c>
    </row>
    <row r="580" spans="2:2">
      <c r="B580" t="s">
        <v>382</v>
      </c>
    </row>
    <row r="581" spans="2:2">
      <c r="B581" t="s">
        <v>319</v>
      </c>
    </row>
    <row r="582" spans="2:2">
      <c r="B582" t="s">
        <v>320</v>
      </c>
    </row>
    <row r="583" spans="2:2">
      <c r="B583" t="s">
        <v>383</v>
      </c>
    </row>
    <row r="584" spans="2:2">
      <c r="B584" t="s">
        <v>81</v>
      </c>
    </row>
    <row r="586" spans="2:2">
      <c r="B586" t="s">
        <v>322</v>
      </c>
    </row>
    <row r="587" spans="2:2">
      <c r="B587" t="s">
        <v>323</v>
      </c>
    </row>
    <row r="588" spans="2:2">
      <c r="B588" t="s">
        <v>384</v>
      </c>
    </row>
    <row r="589" spans="2:2">
      <c r="B589" t="s">
        <v>325</v>
      </c>
    </row>
    <row r="590" spans="2:2">
      <c r="B590" t="s">
        <v>326</v>
      </c>
    </row>
    <row r="591" spans="2:2">
      <c r="B591" t="s">
        <v>328</v>
      </c>
    </row>
    <row r="592" spans="2:2">
      <c r="B592" t="s">
        <v>329</v>
      </c>
    </row>
    <row r="593" spans="2:2">
      <c r="B593" t="s">
        <v>385</v>
      </c>
    </row>
    <row r="594" spans="2:2">
      <c r="B594" t="s">
        <v>81</v>
      </c>
    </row>
    <row r="595" spans="2:2">
      <c r="B595" t="s">
        <v>386</v>
      </c>
    </row>
    <row r="596" spans="2:2">
      <c r="B596" t="s">
        <v>387</v>
      </c>
    </row>
    <row r="597" spans="2:2">
      <c r="B597" t="s">
        <v>331</v>
      </c>
    </row>
    <row r="598" spans="2:2">
      <c r="B598" t="s">
        <v>388</v>
      </c>
    </row>
    <row r="599" spans="2:2">
      <c r="B599" t="s">
        <v>389</v>
      </c>
    </row>
    <row r="600" spans="2:2">
      <c r="B600" t="s">
        <v>390</v>
      </c>
    </row>
    <row r="601" spans="2:2">
      <c r="B601" t="s">
        <v>81</v>
      </c>
    </row>
    <row r="603" spans="2:2">
      <c r="B603" t="s">
        <v>391</v>
      </c>
    </row>
    <row r="604" spans="2:2">
      <c r="B604" t="s">
        <v>90</v>
      </c>
    </row>
    <row r="605" spans="2:2">
      <c r="B605" t="s">
        <v>392</v>
      </c>
    </row>
    <row r="606" spans="2:2">
      <c r="B606" t="s">
        <v>283</v>
      </c>
    </row>
    <row r="607" spans="2:2">
      <c r="B607" t="s">
        <v>90</v>
      </c>
    </row>
    <row r="608" spans="2:2">
      <c r="B608" t="s">
        <v>393</v>
      </c>
    </row>
    <row r="609" spans="2:2">
      <c r="B609" t="s">
        <v>283</v>
      </c>
    </row>
    <row r="610" spans="2:2">
      <c r="B610" t="s">
        <v>90</v>
      </c>
    </row>
    <row r="611" spans="2:2">
      <c r="B611" t="s">
        <v>394</v>
      </c>
    </row>
    <row r="612" spans="2:2">
      <c r="B612" t="s">
        <v>283</v>
      </c>
    </row>
    <row r="613" spans="2:2">
      <c r="B613" t="s">
        <v>90</v>
      </c>
    </row>
    <row r="614" spans="2:2">
      <c r="B614" t="s">
        <v>395</v>
      </c>
    </row>
    <row r="615" spans="2:2">
      <c r="B615" t="s">
        <v>283</v>
      </c>
    </row>
    <row r="616" spans="2:2">
      <c r="B616" t="s">
        <v>90</v>
      </c>
    </row>
    <row r="617" spans="2:2">
      <c r="B617" t="s">
        <v>396</v>
      </c>
    </row>
    <row r="618" spans="2:2">
      <c r="B618" t="s">
        <v>283</v>
      </c>
    </row>
    <row r="619" spans="2:2">
      <c r="B619" t="s">
        <v>90</v>
      </c>
    </row>
    <row r="620" spans="2:2">
      <c r="B620" t="s">
        <v>397</v>
      </c>
    </row>
    <row r="621" spans="2:2">
      <c r="B621" t="s">
        <v>283</v>
      </c>
    </row>
    <row r="622" spans="2:2">
      <c r="B622" t="s">
        <v>90</v>
      </c>
    </row>
    <row r="623" spans="2:2">
      <c r="B623" t="s">
        <v>398</v>
      </c>
    </row>
    <row r="624" spans="2:2">
      <c r="B624" t="s">
        <v>81</v>
      </c>
    </row>
    <row r="626" spans="2:2">
      <c r="B626" t="s">
        <v>399</v>
      </c>
    </row>
    <row r="627" spans="2:2">
      <c r="B627" t="s">
        <v>290</v>
      </c>
    </row>
    <row r="628" spans="2:2">
      <c r="B628" t="s">
        <v>400</v>
      </c>
    </row>
    <row r="629" spans="2:2">
      <c r="B629" t="s">
        <v>283</v>
      </c>
    </row>
    <row r="630" spans="2:2">
      <c r="B630" t="s">
        <v>90</v>
      </c>
    </row>
    <row r="631" spans="2:2">
      <c r="B631" t="s">
        <v>401</v>
      </c>
    </row>
    <row r="632" spans="2:2">
      <c r="B632" t="s">
        <v>81</v>
      </c>
    </row>
    <row r="635" spans="2:2">
      <c r="B635" t="s">
        <v>402</v>
      </c>
    </row>
    <row r="636" spans="2:2">
      <c r="B636" t="s">
        <v>403</v>
      </c>
    </row>
    <row r="637" spans="2:2">
      <c r="B637" t="s">
        <v>384</v>
      </c>
    </row>
    <row r="638" spans="2:2">
      <c r="B638" t="s">
        <v>404</v>
      </c>
    </row>
    <row r="639" spans="2:2">
      <c r="B639" t="s">
        <v>326</v>
      </c>
    </row>
    <row r="640" spans="2:2">
      <c r="B640" t="s">
        <v>328</v>
      </c>
    </row>
    <row r="641" spans="2:2">
      <c r="B641" t="s">
        <v>329</v>
      </c>
    </row>
    <row r="642" spans="2:2">
      <c r="B642" t="s">
        <v>81</v>
      </c>
    </row>
    <row r="644" spans="2:2">
      <c r="B644" t="s">
        <v>90</v>
      </c>
    </row>
    <row r="645" spans="2:2">
      <c r="B645" t="s">
        <v>405</v>
      </c>
    </row>
    <row r="646" spans="2:2">
      <c r="B646" t="s">
        <v>332</v>
      </c>
    </row>
    <row r="647" spans="2:2">
      <c r="B647" t="s">
        <v>333</v>
      </c>
    </row>
    <row r="648" spans="2:2">
      <c r="B648" t="s">
        <v>390</v>
      </c>
    </row>
    <row r="649" spans="2:2">
      <c r="B649" t="s">
        <v>334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7F155-6D3C-4958-98A6-350470C0CFE7}">
  <sheetPr>
    <tabColor rgb="FF00B050"/>
  </sheetPr>
  <dimension ref="B2:D79"/>
  <sheetViews>
    <sheetView zoomScale="130" zoomScaleNormal="130" workbookViewId="0">
      <selection activeCell="F2" sqref="F2"/>
    </sheetView>
  </sheetViews>
  <sheetFormatPr defaultRowHeight="14.4"/>
  <sheetData>
    <row r="2" spans="2:4">
      <c r="B2" s="43" t="s">
        <v>69</v>
      </c>
      <c r="C2" s="43"/>
      <c r="D2" s="43"/>
    </row>
    <row r="3" spans="2:4" ht="18">
      <c r="B3" s="8" t="s">
        <v>406</v>
      </c>
    </row>
    <row r="4" spans="2:4" ht="18">
      <c r="B4" s="37" t="s">
        <v>407</v>
      </c>
    </row>
    <row r="6" spans="2:4">
      <c r="B6" t="s">
        <v>408</v>
      </c>
    </row>
    <row r="8" spans="2:4">
      <c r="B8" t="e" cm="1">
        <f t="array" ref="B8">-- Table of failed QA audits</f>
        <v>#NAME?</v>
      </c>
    </row>
    <row r="9" spans="2:4">
      <c r="B9" t="s">
        <v>409</v>
      </c>
    </row>
    <row r="10" spans="2:4">
      <c r="B10" t="s">
        <v>410</v>
      </c>
    </row>
    <row r="11" spans="2:4">
      <c r="B11" t="s">
        <v>411</v>
      </c>
    </row>
    <row r="12" spans="2:4">
      <c r="B12" t="s">
        <v>412</v>
      </c>
    </row>
    <row r="13" spans="2:4">
      <c r="B13" t="s">
        <v>91</v>
      </c>
    </row>
    <row r="14" spans="2:4">
      <c r="B14" t="s">
        <v>92</v>
      </c>
    </row>
    <row r="15" spans="2:4">
      <c r="B15" t="s">
        <v>93</v>
      </c>
    </row>
    <row r="16" spans="2:4">
      <c r="B16" t="s">
        <v>94</v>
      </c>
    </row>
    <row r="17" spans="2:2">
      <c r="B17" t="s">
        <v>95</v>
      </c>
    </row>
    <row r="18" spans="2:2">
      <c r="B18" t="s">
        <v>96</v>
      </c>
    </row>
    <row r="19" spans="2:2">
      <c r="B19" t="s">
        <v>97</v>
      </c>
    </row>
    <row r="20" spans="2:2">
      <c r="B20" t="s">
        <v>413</v>
      </c>
    </row>
    <row r="21" spans="2:2">
      <c r="B21" t="s">
        <v>414</v>
      </c>
    </row>
    <row r="22" spans="2:2">
      <c r="B22" t="s">
        <v>415</v>
      </c>
    </row>
    <row r="23" spans="2:2">
      <c r="B23" t="s">
        <v>102</v>
      </c>
    </row>
    <row r="24" spans="2:2">
      <c r="B24" t="s">
        <v>334</v>
      </c>
    </row>
    <row r="27" spans="2:2">
      <c r="B27" t="e" cm="1">
        <f t="array" ref="B27">-- Table of failed Tickets from failed QA audits</f>
        <v>#NAME?</v>
      </c>
    </row>
    <row r="28" spans="2:2">
      <c r="B28" t="s">
        <v>416</v>
      </c>
    </row>
    <row r="29" spans="2:2">
      <c r="B29" t="s">
        <v>140</v>
      </c>
    </row>
    <row r="30" spans="2:2">
      <c r="B30" t="s">
        <v>141</v>
      </c>
    </row>
    <row r="31" spans="2:2">
      <c r="B31" t="s">
        <v>142</v>
      </c>
    </row>
    <row r="32" spans="2:2">
      <c r="B32" t="s">
        <v>143</v>
      </c>
    </row>
    <row r="33" spans="2:2">
      <c r="B33" t="s">
        <v>144</v>
      </c>
    </row>
    <row r="34" spans="2:2">
      <c r="B34" t="s">
        <v>75</v>
      </c>
    </row>
    <row r="35" spans="2:2">
      <c r="B35" t="s">
        <v>76</v>
      </c>
    </row>
    <row r="36" spans="2:2">
      <c r="B36" t="s">
        <v>77</v>
      </c>
    </row>
    <row r="37" spans="2:2">
      <c r="B37" t="s">
        <v>78</v>
      </c>
    </row>
    <row r="38" spans="2:2">
      <c r="B38" t="s">
        <v>79</v>
      </c>
    </row>
    <row r="39" spans="2:2">
      <c r="B39" t="s">
        <v>80</v>
      </c>
    </row>
    <row r="40" spans="2:2">
      <c r="B40" t="s">
        <v>145</v>
      </c>
    </row>
    <row r="41" spans="2:2">
      <c r="B41" t="s">
        <v>417</v>
      </c>
    </row>
    <row r="42" spans="2:2">
      <c r="B42" t="s">
        <v>146</v>
      </c>
    </row>
    <row r="43" spans="2:2">
      <c r="B43" t="s">
        <v>147</v>
      </c>
    </row>
    <row r="44" spans="2:2">
      <c r="B44" t="s">
        <v>81</v>
      </c>
    </row>
    <row r="46" spans="2:2">
      <c r="B46" t="s">
        <v>148</v>
      </c>
    </row>
    <row r="47" spans="2:2">
      <c r="B47" t="s">
        <v>418</v>
      </c>
    </row>
    <row r="48" spans="2:2">
      <c r="B48" t="s">
        <v>91</v>
      </c>
    </row>
    <row r="49" spans="2:2">
      <c r="B49" t="s">
        <v>92</v>
      </c>
    </row>
    <row r="50" spans="2:2">
      <c r="B50" t="s">
        <v>93</v>
      </c>
    </row>
    <row r="51" spans="2:2">
      <c r="B51" t="s">
        <v>94</v>
      </c>
    </row>
    <row r="52" spans="2:2">
      <c r="B52" t="s">
        <v>95</v>
      </c>
    </row>
    <row r="53" spans="2:2">
      <c r="B53" t="s">
        <v>96</v>
      </c>
    </row>
    <row r="54" spans="2:2">
      <c r="B54" t="s">
        <v>150</v>
      </c>
    </row>
    <row r="55" spans="2:2">
      <c r="B55" t="s">
        <v>151</v>
      </c>
    </row>
    <row r="56" spans="2:2">
      <c r="B56" t="s">
        <v>413</v>
      </c>
    </row>
    <row r="57" spans="2:2">
      <c r="B57" t="s">
        <v>102</v>
      </c>
    </row>
    <row r="58" spans="2:2">
      <c r="B58" t="s">
        <v>81</v>
      </c>
    </row>
    <row r="59" spans="2:2">
      <c r="B59" t="s">
        <v>90</v>
      </c>
    </row>
    <row r="60" spans="2:2">
      <c r="B60" t="s">
        <v>419</v>
      </c>
    </row>
    <row r="61" spans="2:2">
      <c r="B61" t="s">
        <v>420</v>
      </c>
    </row>
    <row r="62" spans="2:2">
      <c r="B62" t="s">
        <v>334</v>
      </c>
    </row>
    <row r="64" spans="2:2">
      <c r="B64" t="e" cm="1">
        <f t="array" ref="B64">-- Table of open Tickets from QA audits</f>
        <v>#NAME?</v>
      </c>
    </row>
    <row r="65" spans="2:2">
      <c r="B65" t="s">
        <v>421</v>
      </c>
    </row>
    <row r="66" spans="2:2">
      <c r="B66" t="s">
        <v>422</v>
      </c>
    </row>
    <row r="67" spans="2:2">
      <c r="B67" t="s">
        <v>177</v>
      </c>
    </row>
    <row r="68" spans="2:2">
      <c r="B68" t="s">
        <v>131</v>
      </c>
    </row>
    <row r="69" spans="2:2">
      <c r="B69" t="s">
        <v>178</v>
      </c>
    </row>
    <row r="70" spans="2:2">
      <c r="B70" t="s">
        <v>132</v>
      </c>
    </row>
    <row r="71" spans="2:2">
      <c r="B71" t="s">
        <v>179</v>
      </c>
    </row>
    <row r="72" spans="2:2">
      <c r="B72" t="s">
        <v>180</v>
      </c>
    </row>
    <row r="73" spans="2:2">
      <c r="B73" t="s">
        <v>181</v>
      </c>
    </row>
    <row r="74" spans="2:2">
      <c r="B74" t="s">
        <v>182</v>
      </c>
    </row>
    <row r="75" spans="2:2">
      <c r="B75" t="s">
        <v>183</v>
      </c>
    </row>
    <row r="76" spans="2:2">
      <c r="B76" t="s">
        <v>184</v>
      </c>
    </row>
    <row r="77" spans="2:2">
      <c r="B77" t="s">
        <v>413</v>
      </c>
    </row>
    <row r="78" spans="2:2">
      <c r="B78" t="s">
        <v>423</v>
      </c>
    </row>
    <row r="79" spans="2:2">
      <c r="B79" t="s">
        <v>334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C2F2B-9C93-4E89-AB8F-40E592923C4E}">
  <sheetPr codeName="Sheet5">
    <tabColor theme="4" tint="0.79998168889431442"/>
    <pageSetUpPr fitToPage="1"/>
  </sheetPr>
  <dimension ref="A1:Q67"/>
  <sheetViews>
    <sheetView zoomScale="115" zoomScaleNormal="115" workbookViewId="0">
      <selection activeCell="I14" sqref="I14:I15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9.9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SDDR'!D7&amp;")​"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SDDR'!C7</f>
        <v>Adam Salem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SDDR'!F7&amp;" Health &amp; Sanitation audits completed"</f>
        <v>24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SDDR'!F23&amp;" VOC responses received"</f>
        <v>947 VOC responses received</v>
      </c>
      <c r="G7" s="78"/>
      <c r="H7" s="78"/>
      <c r="I7" s="78"/>
      <c r="J7" s="78"/>
      <c r="K7" s="78"/>
      <c r="L7" s="105"/>
    </row>
    <row r="8" spans="2:17" ht="12.9" customHeight="1">
      <c r="C8" s="76"/>
      <c r="D8" s="76"/>
      <c r="E8" s="76"/>
      <c r="F8" s="78" t="str">
        <f>""&amp;'reference sheet_indiv SDDR'!F39&amp;" Origami and "&amp;'reference sheet_indiv SDDR'!F40&amp;" Red Phone incidences reported"</f>
        <v>0 Origami and 0 Red Phone incidences reported</v>
      </c>
      <c r="G8" s="78"/>
      <c r="H8" s="78"/>
      <c r="I8" s="78"/>
      <c r="J8" s="78"/>
      <c r="K8" s="78"/>
      <c r="L8" s="105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103" t="str">
        <f>HYPERLINK(Hyperlinks!B9, "HEALTH &amp; SANITATION​")</f>
        <v>HEALTH &amp; SANITATION​</v>
      </c>
      <c r="D11" s="103"/>
      <c r="E11" s="103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103"/>
      <c r="D12" s="103"/>
      <c r="E12" s="103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SDDR'!F10</f>
        <v>7</v>
      </c>
      <c r="H14" s="18"/>
      <c r="I14" s="84" t="str">
        <f>'reference sheet_indiv SDDR'!F18</f>
        <v>40</v>
      </c>
      <c r="J14" s="16"/>
      <c r="K14" s="16"/>
      <c r="L14" s="16"/>
    </row>
    <row r="15" spans="2:17" ht="18" customHeight="1">
      <c r="C15" s="16"/>
      <c r="D15" s="89" t="str">
        <f>'reference sheet_indiv SDDR'!F7</f>
        <v>24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69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SDDR'!F11*100),0)&amp;"%"</f>
        <v>29%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SDDR'!F22</f>
        <v>1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SDDR'!F9)*0.01</f>
        <v>0.92040000000000011</v>
      </c>
      <c r="E20" s="83"/>
      <c r="F20" s="16"/>
      <c r="G20" s="84" t="str">
        <f>'reference sheet_indiv SDDR'!F14</f>
        <v>93</v>
      </c>
      <c r="H20" s="13"/>
      <c r="I20" s="84" t="str">
        <f>""&amp;ROUND('reference sheet_indiv SDDR'!F15,1)&amp;""</f>
        <v>3.3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6.5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6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9.9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SDDR'!F24</f>
        <v>441</v>
      </c>
      <c r="E28" s="93"/>
      <c r="G28" s="103" t="str">
        <f>HYPERLINK(Hyperlinks!C9,"AI GENERATED VOICE OF CUSTOMER ANALYSIS")</f>
        <v>AI GENERATED VOICE OF CUSTOMER ANALYSIS</v>
      </c>
      <c r="H28" s="103"/>
      <c r="I28" s="103"/>
      <c r="J28" s="103"/>
      <c r="K28" s="103"/>
      <c r="L28" s="103"/>
      <c r="M28" s="24"/>
    </row>
    <row r="29" spans="3:17" ht="10.5" customHeight="1">
      <c r="D29" s="94" t="s">
        <v>10</v>
      </c>
      <c r="E29" s="94"/>
      <c r="G29" s="103"/>
      <c r="H29" s="103"/>
      <c r="I29" s="103"/>
      <c r="J29" s="103"/>
      <c r="K29" s="103"/>
      <c r="L29" s="103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SDDR'!F28*100),0)&amp;"%"</f>
        <v>21%</v>
      </c>
      <c r="E31" s="26" t="str">
        <f>"Positive ("&amp;ROUND('reference sheet_indiv SDDR'!F25,0)&amp;")"</f>
        <v>Positive (91)</v>
      </c>
      <c r="H31" s="95" t="str">
        <f>'reference sheet_indiv SDDR'!F34</f>
        <v>39</v>
      </c>
      <c r="I31" s="95"/>
      <c r="J31" s="95"/>
      <c r="K31" s="95"/>
      <c r="L31" s="95"/>
    </row>
    <row r="32" spans="3:17" ht="12" customHeight="1">
      <c r="D32" s="27" t="str">
        <f>""&amp;ROUND(('reference sheet_indiv SDDR'!F30*100),0)&amp;"%"</f>
        <v>25%</v>
      </c>
      <c r="E32" s="26" t="str">
        <f>"Neutral ("&amp;ROUND('reference sheet_indiv SDDR'!F27,0)&amp;")"</f>
        <v>Neutral (111)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SDDR'!F29*100),0)&amp;"%"</f>
        <v>54%</v>
      </c>
      <c r="E33" s="26" t="str">
        <f>"Negative ("&amp;ROUND('reference sheet_indiv SDDR'!F26,0)&amp;")"</f>
        <v>Negative (238)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SDDR'!F35*100),0)&amp;"%"</f>
        <v>65%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SDDR'!F36</f>
        <v>0</v>
      </c>
      <c r="I38" s="90"/>
      <c r="K38" s="90" t="str">
        <f>'reference sheet_indiv SDDR'!F37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103" t="str">
        <f>HYPERLINK(Hyperlinks!D9,"ORIGAMI &amp; RED PHONE")</f>
        <v>ORIGAMI &amp; RED PHONE</v>
      </c>
      <c r="D44" s="103"/>
      <c r="E44" s="103"/>
      <c r="F44" s="103"/>
      <c r="G44" s="10"/>
      <c r="H44" s="10"/>
      <c r="I44" s="10"/>
      <c r="J44" s="10"/>
      <c r="K44" s="10"/>
      <c r="L44" s="10"/>
    </row>
    <row r="45" spans="3:12" ht="12" customHeight="1">
      <c r="C45" s="103"/>
      <c r="D45" s="103"/>
      <c r="E45" s="103"/>
      <c r="F45" s="103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12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6.6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11.1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12.6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 ht="10.5" customHeight="1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10.5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38D63-2066-4986-9B12-F87B483B9D75}">
  <sheetPr codeName="Sheet6">
    <tabColor theme="4" tint="0.79998168889431442"/>
    <pageSetUpPr fitToPage="1"/>
  </sheetPr>
  <dimension ref="A1:Q67"/>
  <sheetViews>
    <sheetView zoomScale="115" zoomScaleNormal="115" workbookViewId="0">
      <selection activeCell="F4" sqref="F4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9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SDDR'!D61&amp;")​"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SDDR'!C61</f>
        <v>Brian Donohue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SDDR'!F61&amp;" Health &amp; Sanitation audits completed"</f>
        <v>23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SDDR'!F77&amp;" VOC responses received"</f>
        <v>463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SDDR'!F93&amp;" Origami and "&amp;'reference sheet_indiv SDDR'!F94&amp;"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HYPERLINK(Hyperlinks!B10,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SDDR'!F64</f>
        <v>3</v>
      </c>
      <c r="H14" s="18"/>
      <c r="I14" s="84" t="str">
        <f>'reference sheet_indiv SDDR'!F72</f>
        <v>9</v>
      </c>
      <c r="J14" s="16"/>
      <c r="K14" s="16"/>
      <c r="L14" s="16"/>
    </row>
    <row r="15" spans="2:17" ht="15" customHeight="1">
      <c r="C15" s="16"/>
      <c r="D15" s="89" t="str">
        <f>'reference sheet_indiv SDDR'!F61</f>
        <v>23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SDDR'!F65*100),0)&amp;"%"</f>
        <v>13%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SDDR'!F76</f>
        <v>0</v>
      </c>
      <c r="L18" s="16"/>
      <c r="Q18" s="38"/>
    </row>
    <row r="19" spans="3:17" ht="9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SDDR'!F63)*0.01</f>
        <v>0.94620000000000004</v>
      </c>
      <c r="E20" s="83"/>
      <c r="F20" s="16"/>
      <c r="G20" s="84" t="str">
        <f>'reference sheet_indiv SDDR'!F68</f>
        <v>20</v>
      </c>
      <c r="H20" s="13"/>
      <c r="I20" s="84" t="str">
        <f>""&amp;ROUND('reference sheet_indiv SDDR'!F69,1)&amp;""</f>
        <v>3.3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6.5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5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SDDR'!F78</f>
        <v>167</v>
      </c>
      <c r="E28" s="93"/>
      <c r="G28" s="87" t="str">
        <f>HYPERLINK(Hyperlinks!C10,"AI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SDDR'!F82*100),0)&amp;"%"</f>
        <v>37%</v>
      </c>
      <c r="E31" s="26" t="str">
        <f>"Positive ("&amp;ROUND('reference sheet_indiv SDDR'!F79,0)&amp;")"</f>
        <v>Positive (61)</v>
      </c>
      <c r="H31" s="95" t="str">
        <f>'reference sheet_indiv SDDR'!F88</f>
        <v>102</v>
      </c>
      <c r="I31" s="95"/>
      <c r="J31" s="95"/>
      <c r="K31" s="95"/>
      <c r="L31" s="95"/>
    </row>
    <row r="32" spans="3:17" ht="12" customHeight="1">
      <c r="D32" s="27" t="str">
        <f>""&amp;ROUND(('reference sheet_indiv SDDR'!F84*100),0)&amp;"%"</f>
        <v>25%</v>
      </c>
      <c r="E32" s="26" t="str">
        <f>"Neutral ("&amp;ROUND('reference sheet_indiv SDDR'!F81,0)&amp;")"</f>
        <v>Neutral (41)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SDDR'!F83*100),0)&amp;"%"</f>
        <v>39%</v>
      </c>
      <c r="E33" s="26" t="str">
        <f>"Negative ("&amp;ROUND('reference sheet_indiv SDDR'!F80,0)&amp;")"</f>
        <v>Negative (65)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SDDR'!F89*100),0)&amp;"%"</f>
        <v>86%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0.100000000000001" customHeight="1">
      <c r="H38" s="90" t="str">
        <f>'reference sheet_indiv SDDR'!F90</f>
        <v>0</v>
      </c>
      <c r="I38" s="90"/>
      <c r="K38" s="90" t="str">
        <f>'reference sheet_indiv SDDR'!F91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9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HYPERLINK(Hyperlinks!D10,"ORIGAMI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14.4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9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6.6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12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 ht="9.9" customHeight="1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8.4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F3D57-17EE-4503-9B40-24B3EF9AABE2}">
  <sheetPr codeName="Sheet7">
    <tabColor theme="4" tint="0.79998168889431442"/>
    <pageSetUpPr fitToPage="1"/>
  </sheetPr>
  <dimension ref="A1:Q67"/>
  <sheetViews>
    <sheetView zoomScale="145" zoomScaleNormal="145" workbookViewId="0">
      <selection activeCell="F4" sqref="F4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SDDR'!D111&amp;")​"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SDDR'!C115</f>
        <v>Neil Gardner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SDDR'!F115&amp;" Health &amp; Sanitation audits completed"</f>
        <v>9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SDDR'!F131&amp;" VOC responses received"</f>
        <v>460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SDDR'!F147&amp;" Origami and "&amp;'reference sheet_indiv SDDR'!F148&amp;"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HYPERLINK(Hyperlinks!B11,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SDDR'!F118</f>
        <v>0</v>
      </c>
      <c r="H14" s="18"/>
      <c r="I14" s="84" t="str">
        <f>'reference sheet_indiv SDDR'!F126</f>
        <v>0</v>
      </c>
      <c r="J14" s="16"/>
      <c r="K14" s="16"/>
      <c r="L14" s="16"/>
    </row>
    <row r="15" spans="2:17" ht="15.6" customHeight="1">
      <c r="C15" s="16"/>
      <c r="D15" s="89" t="str">
        <f>'reference sheet_indiv SDDR'!F115</f>
        <v>9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SDDR'!F119*100),0)&amp;"%"</f>
        <v>0%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SDDR'!F130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SDDR'!F117)*0.01</f>
        <v>0.9788</v>
      </c>
      <c r="E20" s="83"/>
      <c r="F20" s="16"/>
      <c r="G20" s="84" t="str">
        <f>'reference sheet_indiv SDDR'!F122</f>
        <v>0</v>
      </c>
      <c r="H20" s="13"/>
      <c r="I20" s="84" t="str">
        <f>""&amp;ROUND('reference sheet_indiv SDDR'!F123,1)&amp;""</f>
        <v>0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5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SDDR'!F132</f>
        <v>191</v>
      </c>
      <c r="E28" s="93"/>
      <c r="G28" s="87" t="str">
        <f>HYPERLINK(Hyperlinks!C11,"AI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SDDR'!F136*100),0)&amp;"%"</f>
        <v>24%</v>
      </c>
      <c r="E31" s="26" t="str">
        <f>"Positive ("&amp;ROUND('reference sheet_indiv SDDR'!F133,0)&amp;")"</f>
        <v>Positive (45)</v>
      </c>
      <c r="H31" s="95" t="str">
        <f>'reference sheet_indiv SDDR'!F142</f>
        <v>88</v>
      </c>
      <c r="I31" s="95"/>
      <c r="J31" s="95"/>
      <c r="K31" s="95"/>
      <c r="L31" s="95"/>
    </row>
    <row r="32" spans="3:17" ht="12" customHeight="1">
      <c r="D32" s="27" t="str">
        <f>""&amp;ROUND(('reference sheet_indiv SDDR'!F138*100),0)&amp;"%"</f>
        <v>42%</v>
      </c>
      <c r="E32" s="26" t="str">
        <f>"Neutral ("&amp;ROUND('reference sheet_indiv SDDR'!F135,0)&amp;")"</f>
        <v>Neutral (81)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SDDR'!F137*100),0)&amp;"%"</f>
        <v>34%</v>
      </c>
      <c r="E33" s="26" t="str">
        <f>"Negative ("&amp;ROUND('reference sheet_indiv SDDR'!F134,0)&amp;")"</f>
        <v>Negative (65)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SDDR'!F143*100),0)&amp;"%"</f>
        <v>88%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SDDR'!F144</f>
        <v>0</v>
      </c>
      <c r="I38" s="90"/>
      <c r="K38" s="90" t="str">
        <f>'reference sheet_indiv SDDR'!F145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HYPERLINK(Hyperlinks!D11,"ORIGAMI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F49D-85D1-400B-ACF1-019B8979BA8E}">
  <sheetPr codeName="Sheet8">
    <tabColor theme="4" tint="0.79998168889431442"/>
    <pageSetUpPr fitToPage="1"/>
  </sheetPr>
  <dimension ref="A1:Q67"/>
  <sheetViews>
    <sheetView zoomScale="160" zoomScaleNormal="160" workbookViewId="0">
      <selection activeCell="O6" sqref="O6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SDDR'!D169&amp;")​"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SDDR'!C169</f>
        <v>Peter Soguero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SDDR'!F169&amp;" Health &amp; Sanitation audits completed"</f>
        <v>29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SDDR'!F185&amp;" VOC responses received"</f>
        <v>461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SDDR'!F201&amp;" Origami and "&amp;'reference sheet_indiv SDDR'!F202&amp;"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HYPERLINK(Hyperlinks!B12,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SDDR'!F172</f>
        <v>3</v>
      </c>
      <c r="H14" s="18"/>
      <c r="I14" s="84" t="str">
        <f>'reference sheet_indiv SDDR'!F180</f>
        <v>14</v>
      </c>
      <c r="J14" s="16"/>
      <c r="K14" s="16"/>
      <c r="L14" s="16"/>
    </row>
    <row r="15" spans="2:17" ht="15.6" customHeight="1">
      <c r="C15" s="16"/>
      <c r="D15" s="89" t="str">
        <f>'reference sheet_indiv SDDR'!F169</f>
        <v>29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SDDR'!F173*100),0)&amp;"%"</f>
        <v>10%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SDDR'!F184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SDDR'!F171)*0.01</f>
        <v>0.94579999999999997</v>
      </c>
      <c r="E20" s="83"/>
      <c r="F20" s="16"/>
      <c r="G20" s="84" t="str">
        <f>'reference sheet_indiv SDDR'!F176</f>
        <v>30</v>
      </c>
      <c r="H20" s="13"/>
      <c r="I20" s="84" t="str">
        <f>""&amp;ROUND('reference sheet_indiv SDDR'!F177,1)&amp;""</f>
        <v>1.9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5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SDDR'!F186</f>
        <v>202</v>
      </c>
      <c r="E28" s="93"/>
      <c r="G28" s="87" t="str">
        <f>HYPERLINK(Hyperlinks!C12,"AI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SDDR'!F190*100),0)&amp;"%"</f>
        <v>25%</v>
      </c>
      <c r="E31" s="26" t="str">
        <f>"Positive ("&amp;ROUND('reference sheet_indiv SDDR'!F187,0)&amp;")"</f>
        <v>Positive (51)</v>
      </c>
      <c r="H31" s="95" t="str">
        <f>'reference sheet_indiv SDDR'!F196</f>
        <v>78</v>
      </c>
      <c r="I31" s="95"/>
      <c r="J31" s="95"/>
      <c r="K31" s="95"/>
      <c r="L31" s="95"/>
    </row>
    <row r="32" spans="3:17" ht="12" customHeight="1">
      <c r="D32" s="27" t="str">
        <f>""&amp;ROUND(('reference sheet_indiv SDDR'!F192*100),0)&amp;"%"</f>
        <v>33%</v>
      </c>
      <c r="E32" s="26" t="str">
        <f>"Neutral ("&amp;ROUND('reference sheet_indiv SDDR'!F189,0)&amp;")"</f>
        <v>Neutral (66)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SDDR'!F191*100),0)&amp;"%"</f>
        <v>42%</v>
      </c>
      <c r="E33" s="26" t="str">
        <f>"Negative ("&amp;ROUND('reference sheet_indiv SDDR'!F188,0)&amp;")"</f>
        <v>Negative (85)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SDDR'!F197*100),0)&amp;"%"</f>
        <v>84%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SDDR'!F198</f>
        <v>0</v>
      </c>
      <c r="I38" s="90"/>
      <c r="K38" s="90" t="str">
        <f>'reference sheet_indiv SDDR'!F199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HYPERLINK(Hyperlinks!D12,"ORIGAMI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6238D-954D-45BC-9656-0FDDB19BB4D6}">
  <sheetPr codeName="Sheet12">
    <tabColor theme="4" tint="0.79998168889431442"/>
    <pageSetUpPr fitToPage="1"/>
  </sheetPr>
  <dimension ref="A1:Q67"/>
  <sheetViews>
    <sheetView zoomScale="160" zoomScaleNormal="160" workbookViewId="0">
      <selection activeCell="O10" sqref="O10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SDDR'!D223&amp;")​"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SDDR'!C223</f>
        <v>Rick Russo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SDDR'!F223&amp;" Health &amp; Sanitation audits completed"</f>
        <v>47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SDDR'!F239&amp;" VOC responses received"</f>
        <v>1,180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SDDR'!F255&amp;" Origami and "&amp;'reference sheet_indiv SDDR'!F256&amp;"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HYPERLINK(Hyperlinks!B13,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SDDR'!F226</f>
        <v>0</v>
      </c>
      <c r="H14" s="18"/>
      <c r="I14" s="84" t="str">
        <f>'reference sheet_indiv SDDR'!F234</f>
        <v>0</v>
      </c>
      <c r="J14" s="16"/>
      <c r="K14" s="16"/>
      <c r="L14" s="16"/>
    </row>
    <row r="15" spans="2:17" ht="15.6" customHeight="1">
      <c r="C15" s="16"/>
      <c r="D15" s="89" t="str">
        <f>'reference sheet_indiv SDDR'!F223</f>
        <v>47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SDDR'!F227*100),0)&amp;"%"</f>
        <v>0%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SDDR'!F238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SDDR'!F225)*0.01</f>
        <v>0.97330000000000005</v>
      </c>
      <c r="E20" s="83"/>
      <c r="F20" s="16"/>
      <c r="G20" s="84" t="str">
        <f>'reference sheet_indiv SDDR'!F230</f>
        <v>0</v>
      </c>
      <c r="H20" s="13"/>
      <c r="I20" s="84" t="str">
        <f>""&amp;ROUND('reference sheet_indiv SDDR'!F231,1)&amp;""</f>
        <v>0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6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SDDR'!F240</f>
        <v>781</v>
      </c>
      <c r="E28" s="93"/>
      <c r="G28" s="87" t="str">
        <f>HYPERLINK(Hyperlinks!C13,"AI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SDDR'!F244*100),0)&amp;"%"</f>
        <v>18%</v>
      </c>
      <c r="E31" s="26" t="str">
        <f>"Positive ("&amp;ROUND('reference sheet_indiv SDDR'!F241,0)&amp;")"</f>
        <v>Positive (141)</v>
      </c>
      <c r="H31" s="95" t="str">
        <f>'reference sheet_indiv SDDR'!F250</f>
        <v>65</v>
      </c>
      <c r="I31" s="95"/>
      <c r="J31" s="95"/>
      <c r="K31" s="95"/>
      <c r="L31" s="95"/>
    </row>
    <row r="32" spans="3:17" ht="12" customHeight="1">
      <c r="D32" s="27" t="str">
        <f>""&amp;ROUND(('reference sheet_indiv SDDR'!F246*100),0)&amp;"%"</f>
        <v>18%</v>
      </c>
      <c r="E32" s="26" t="str">
        <f>"Neutral ("&amp;ROUND('reference sheet_indiv SDDR'!F243,0)&amp;")"</f>
        <v>Neutral (137)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SDDR'!F245*100),0)&amp;"%"</f>
        <v>64%</v>
      </c>
      <c r="E33" s="26" t="str">
        <f>"Negative ("&amp;ROUND('reference sheet_indiv SDDR'!F242,0)&amp;")"</f>
        <v>Negative (503)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SDDR'!F251*100),0)&amp;"%"</f>
        <v>65%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SDDR'!F252</f>
        <v>0</v>
      </c>
      <c r="I38" s="90"/>
      <c r="K38" s="90" t="str">
        <f>'reference sheet_indiv SDDR'!F253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HYPERLINK(Hyperlinks!D13,"ORIGAMI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D17:E18"/>
    <mergeCell ref="K18:K20"/>
    <mergeCell ref="D20:E21"/>
    <mergeCell ref="K21:K22"/>
    <mergeCell ref="K16:K17"/>
    <mergeCell ref="I16:I18"/>
    <mergeCell ref="I22:I24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6952-BC9E-4473-B774-1BB0A1EB6894}">
  <sheetPr codeName="Sheet13">
    <tabColor theme="4" tint="0.79998168889431442"/>
    <pageSetUpPr fitToPage="1"/>
  </sheetPr>
  <dimension ref="A1:Q67"/>
  <sheetViews>
    <sheetView topLeftCell="A2" zoomScale="130" zoomScaleNormal="130" workbookViewId="0">
      <selection activeCell="O37" sqref="O37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SDDR'!D277&amp;")​"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SDDR'!C277</f>
        <v>Sari Feltman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SDDR'!F277&amp;" Health &amp; Sanitation audits completed"</f>
        <v>46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SDDR'!F293&amp;" VOC responses received"</f>
        <v>491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SDDR'!F309&amp;" Origami and "&amp;'reference sheet_indiv SDDR'!F310&amp;"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HYPERLINK(Hyperlinks!B14,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SDDR'!F280</f>
        <v>1</v>
      </c>
      <c r="H14" s="18"/>
      <c r="I14" s="84" t="str">
        <f>'reference sheet_indiv SDDR'!F288</f>
        <v>8</v>
      </c>
      <c r="J14" s="16"/>
      <c r="K14" s="16"/>
      <c r="L14" s="16"/>
    </row>
    <row r="15" spans="2:17" ht="15.6" customHeight="1">
      <c r="C15" s="16"/>
      <c r="D15" s="89" t="str">
        <f>'reference sheet_indiv SDDR'!F277</f>
        <v>46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SDDR'!F281*100),0)&amp;"%"</f>
        <v>2%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SDDR'!F292</f>
        <v>10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SDDR'!F279)*0.01</f>
        <v>0.96860000000000002</v>
      </c>
      <c r="E20" s="83"/>
      <c r="F20" s="16"/>
      <c r="G20" s="84" t="str">
        <f>'reference sheet_indiv SDDR'!F284</f>
        <v>9</v>
      </c>
      <c r="H20" s="13"/>
      <c r="I20" s="84" t="str">
        <f>""&amp;ROUND('reference sheet_indiv SDDR'!F285,1)&amp;""</f>
        <v>10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6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SDDR'!F294</f>
        <v>112</v>
      </c>
      <c r="E28" s="93"/>
      <c r="G28" s="87" t="str">
        <f>HYPERLINK(Hyperlinks!C14,"AI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SDDR'!F298*100),0)&amp;"%"</f>
        <v>38%</v>
      </c>
      <c r="E31" s="26" t="str">
        <f>"Positive ("&amp;ROUND('reference sheet_indiv SDDR'!F295,0)&amp;")"</f>
        <v>Positive (42)</v>
      </c>
      <c r="H31" s="95" t="str">
        <f>'reference sheet_indiv SDDR'!F304</f>
        <v>273</v>
      </c>
      <c r="I31" s="95"/>
      <c r="J31" s="95"/>
      <c r="K31" s="95"/>
      <c r="L31" s="95"/>
    </row>
    <row r="32" spans="3:17" ht="12" customHeight="1">
      <c r="D32" s="27" t="str">
        <f>""&amp;ROUND(('reference sheet_indiv SDDR'!F300*100),0)&amp;"%"</f>
        <v>35%</v>
      </c>
      <c r="E32" s="26" t="str">
        <f>"Neutral ("&amp;ROUND('reference sheet_indiv SDDR'!F297,0)&amp;")"</f>
        <v>Neutral (39)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SDDR'!F299*100),0)&amp;"%"</f>
        <v>28%</v>
      </c>
      <c r="E33" s="26" t="str">
        <f>"Negative ("&amp;ROUND('reference sheet_indiv SDDR'!F296,0)&amp;")"</f>
        <v>Negative (31)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SDDR'!F305*100),0)&amp;"%"</f>
        <v>96%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SDDR'!F306</f>
        <v>0</v>
      </c>
      <c r="I38" s="90"/>
      <c r="K38" s="90" t="str">
        <f>'reference sheet_indiv SDDR'!F307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HYPERLINK(Hyperlinks!D14,"ORIGAMI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D17:E18"/>
    <mergeCell ref="K18:K20"/>
    <mergeCell ref="D20:E21"/>
    <mergeCell ref="K16:K17"/>
    <mergeCell ref="K21:K22"/>
    <mergeCell ref="I16:I18"/>
    <mergeCell ref="I22:I24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1F1FA-D5E6-462D-BB4A-797EA4AB32A9}">
  <sheetPr codeName="Sheet9">
    <tabColor rgb="FF00B050"/>
  </sheetPr>
  <dimension ref="A2:I330"/>
  <sheetViews>
    <sheetView zoomScaleNormal="100" workbookViewId="0">
      <selection activeCell="C126" sqref="C126"/>
    </sheetView>
  </sheetViews>
  <sheetFormatPr defaultColWidth="8.6640625" defaultRowHeight="14.4"/>
  <cols>
    <col min="1" max="1" width="50.5546875" style="7" bestFit="1" customWidth="1"/>
    <col min="2" max="2" width="14.88671875" style="33" customWidth="1"/>
    <col min="3" max="3" width="16.88671875" style="33" customWidth="1"/>
    <col min="4" max="4" width="7.88671875" style="33" customWidth="1"/>
    <col min="5" max="5" width="9.109375" style="33" customWidth="1"/>
    <col min="6" max="6" width="14.33203125" style="33" customWidth="1"/>
    <col min="7" max="7" width="22.5546875" style="33" bestFit="1" customWidth="1"/>
    <col min="8" max="8" width="8.6640625" style="7"/>
    <col min="9" max="9" width="11.44140625" style="7" customWidth="1"/>
    <col min="10" max="16384" width="8.6640625" style="7"/>
  </cols>
  <sheetData>
    <row r="2" spans="1:9" ht="21">
      <c r="B2" s="35" t="s">
        <v>424</v>
      </c>
    </row>
    <row r="3" spans="1:9">
      <c r="B3" s="36" t="s">
        <v>425</v>
      </c>
    </row>
    <row r="4" spans="1:9">
      <c r="B4" s="36" t="s">
        <v>426</v>
      </c>
    </row>
    <row r="6" spans="1:9">
      <c r="A6" s="40" t="s">
        <v>427</v>
      </c>
      <c r="B6" s="34" t="s">
        <v>428</v>
      </c>
      <c r="C6" s="34" t="s">
        <v>429</v>
      </c>
      <c r="D6" s="34" t="s">
        <v>430</v>
      </c>
      <c r="E6" s="34" t="s">
        <v>431</v>
      </c>
      <c r="F6" s="34" t="s">
        <v>432</v>
      </c>
      <c r="G6" s="34" t="s">
        <v>433</v>
      </c>
      <c r="I6" s="40" t="s">
        <v>434</v>
      </c>
    </row>
    <row r="7" spans="1:9">
      <c r="A7" s="72" t="s">
        <v>435</v>
      </c>
      <c r="B7">
        <v>1</v>
      </c>
      <c r="C7" t="s">
        <v>436</v>
      </c>
      <c r="D7">
        <v>2024</v>
      </c>
      <c r="E7">
        <v>9</v>
      </c>
      <c r="F7" s="74" t="str">
        <f>"24"</f>
        <v>24</v>
      </c>
      <c r="G7"/>
      <c r="I7" s="7" t="s">
        <v>437</v>
      </c>
    </row>
    <row r="8" spans="1:9">
      <c r="A8" s="72" t="s">
        <v>438</v>
      </c>
      <c r="B8">
        <v>2</v>
      </c>
      <c r="C8" t="s">
        <v>436</v>
      </c>
      <c r="D8">
        <v>2024</v>
      </c>
      <c r="E8">
        <v>9</v>
      </c>
      <c r="F8" s="74" t="str">
        <f>"24"</f>
        <v>24</v>
      </c>
      <c r="G8"/>
    </row>
    <row r="9" spans="1:9">
      <c r="A9" s="72" t="s">
        <v>439</v>
      </c>
      <c r="B9">
        <v>3</v>
      </c>
      <c r="C9" t="s">
        <v>436</v>
      </c>
      <c r="D9">
        <v>2024</v>
      </c>
      <c r="E9">
        <v>9</v>
      </c>
      <c r="F9" s="75" t="str">
        <f>"92.04"</f>
        <v>92.04</v>
      </c>
      <c r="G9"/>
    </row>
    <row r="10" spans="1:9">
      <c r="A10" s="72" t="s">
        <v>440</v>
      </c>
      <c r="B10">
        <v>4</v>
      </c>
      <c r="C10" t="s">
        <v>436</v>
      </c>
      <c r="D10">
        <v>2024</v>
      </c>
      <c r="E10">
        <v>9</v>
      </c>
      <c r="F10" s="74" t="str">
        <f>"7"</f>
        <v>7</v>
      </c>
      <c r="G10"/>
    </row>
    <row r="11" spans="1:9">
      <c r="A11" s="72" t="s">
        <v>441</v>
      </c>
      <c r="B11">
        <v>5</v>
      </c>
      <c r="C11" t="s">
        <v>436</v>
      </c>
      <c r="D11">
        <v>2024</v>
      </c>
      <c r="E11">
        <v>9</v>
      </c>
      <c r="F11" s="75" t="str">
        <f>"0.29"</f>
        <v>0.29</v>
      </c>
      <c r="G11"/>
    </row>
    <row r="12" spans="1:9">
      <c r="A12" s="72" t="s">
        <v>442</v>
      </c>
      <c r="B12">
        <v>6</v>
      </c>
      <c r="C12" t="s">
        <v>436</v>
      </c>
      <c r="D12">
        <v>2024</v>
      </c>
      <c r="E12">
        <v>9</v>
      </c>
      <c r="F12" s="74" t="str">
        <f>"165"</f>
        <v>165</v>
      </c>
      <c r="G12"/>
    </row>
    <row r="13" spans="1:9">
      <c r="A13" s="72" t="s">
        <v>443</v>
      </c>
      <c r="B13">
        <v>7</v>
      </c>
      <c r="C13" t="s">
        <v>436</v>
      </c>
      <c r="D13">
        <v>2024</v>
      </c>
      <c r="E13">
        <v>9</v>
      </c>
      <c r="F13" s="75" t="str">
        <f>"2.53"</f>
        <v>2.53</v>
      </c>
      <c r="G13"/>
    </row>
    <row r="14" spans="1:9">
      <c r="A14" s="72" t="s">
        <v>444</v>
      </c>
      <c r="B14">
        <v>8</v>
      </c>
      <c r="C14" t="s">
        <v>436</v>
      </c>
      <c r="D14">
        <v>2024</v>
      </c>
      <c r="E14">
        <v>9</v>
      </c>
      <c r="F14" s="74" t="str">
        <f>"93"</f>
        <v>93</v>
      </c>
      <c r="G14"/>
    </row>
    <row r="15" spans="1:9">
      <c r="A15" s="72" t="s">
        <v>445</v>
      </c>
      <c r="B15">
        <v>9</v>
      </c>
      <c r="C15" t="s">
        <v>436</v>
      </c>
      <c r="D15">
        <v>2024</v>
      </c>
      <c r="E15">
        <v>9</v>
      </c>
      <c r="F15" s="75" t="str">
        <f>"3.32"</f>
        <v>3.32</v>
      </c>
      <c r="G15"/>
    </row>
    <row r="16" spans="1:9">
      <c r="A16" s="72" t="s">
        <v>446</v>
      </c>
      <c r="B16">
        <v>10</v>
      </c>
      <c r="C16" t="s">
        <v>436</v>
      </c>
      <c r="D16">
        <v>2024</v>
      </c>
      <c r="E16">
        <v>9</v>
      </c>
      <c r="F16" s="74" t="str">
        <f>"40"</f>
        <v>40</v>
      </c>
      <c r="G16"/>
    </row>
    <row r="17" spans="1:7">
      <c r="A17" s="72" t="s">
        <v>447</v>
      </c>
      <c r="B17">
        <v>11</v>
      </c>
      <c r="C17" t="s">
        <v>436</v>
      </c>
      <c r="D17">
        <v>2024</v>
      </c>
      <c r="E17">
        <v>9</v>
      </c>
      <c r="F17" s="74" t="str">
        <f>"13"</f>
        <v>13</v>
      </c>
      <c r="G17"/>
    </row>
    <row r="18" spans="1:7">
      <c r="A18" s="72" t="s">
        <v>448</v>
      </c>
      <c r="B18">
        <v>12</v>
      </c>
      <c r="C18" t="s">
        <v>436</v>
      </c>
      <c r="D18">
        <v>2024</v>
      </c>
      <c r="E18">
        <v>9</v>
      </c>
      <c r="F18" s="74" t="str">
        <f>"40"</f>
        <v>40</v>
      </c>
      <c r="G18"/>
    </row>
    <row r="19" spans="1:7">
      <c r="A19" s="72" t="s">
        <v>449</v>
      </c>
      <c r="B19">
        <v>13</v>
      </c>
      <c r="C19" t="s">
        <v>436</v>
      </c>
      <c r="D19">
        <v>2024</v>
      </c>
      <c r="E19">
        <v>9</v>
      </c>
      <c r="F19" s="74" t="str">
        <f>"75"</f>
        <v>75</v>
      </c>
      <c r="G19"/>
    </row>
    <row r="20" spans="1:7">
      <c r="A20" s="72" t="s">
        <v>450</v>
      </c>
      <c r="B20">
        <v>14</v>
      </c>
      <c r="C20" t="s">
        <v>436</v>
      </c>
      <c r="D20">
        <v>2024</v>
      </c>
      <c r="E20">
        <v>9</v>
      </c>
      <c r="F20" s="74" t="str">
        <f>"31"</f>
        <v>31</v>
      </c>
      <c r="G20"/>
    </row>
    <row r="21" spans="1:7">
      <c r="A21" s="72" t="s">
        <v>451</v>
      </c>
      <c r="B21">
        <v>15</v>
      </c>
      <c r="C21" t="s">
        <v>436</v>
      </c>
      <c r="D21">
        <v>2024</v>
      </c>
      <c r="E21">
        <v>9</v>
      </c>
      <c r="F21" s="74" t="str">
        <f>"61"</f>
        <v>61</v>
      </c>
      <c r="G21"/>
    </row>
    <row r="22" spans="1:7">
      <c r="A22" s="72" t="s">
        <v>452</v>
      </c>
      <c r="B22">
        <v>16</v>
      </c>
      <c r="C22" t="s">
        <v>436</v>
      </c>
      <c r="D22">
        <v>2024</v>
      </c>
      <c r="E22">
        <v>9</v>
      </c>
      <c r="F22" s="74" t="str">
        <f>"1"</f>
        <v>1</v>
      </c>
      <c r="G22"/>
    </row>
    <row r="23" spans="1:7">
      <c r="A23" s="72" t="s">
        <v>453</v>
      </c>
      <c r="B23">
        <v>17</v>
      </c>
      <c r="C23" t="s">
        <v>436</v>
      </c>
      <c r="D23">
        <v>2024</v>
      </c>
      <c r="E23">
        <v>9</v>
      </c>
      <c r="F23" s="74" t="str">
        <f>"947"</f>
        <v>947</v>
      </c>
      <c r="G23"/>
    </row>
    <row r="24" spans="1:7">
      <c r="A24" s="72" t="s">
        <v>10</v>
      </c>
      <c r="B24">
        <v>18</v>
      </c>
      <c r="C24" t="s">
        <v>436</v>
      </c>
      <c r="D24">
        <v>2024</v>
      </c>
      <c r="E24">
        <v>9</v>
      </c>
      <c r="F24" s="74" t="str">
        <f>"441"</f>
        <v>441</v>
      </c>
      <c r="G24"/>
    </row>
    <row r="25" spans="1:7">
      <c r="A25" s="72" t="s">
        <v>454</v>
      </c>
      <c r="B25">
        <v>19</v>
      </c>
      <c r="C25" t="s">
        <v>436</v>
      </c>
      <c r="D25">
        <v>2024</v>
      </c>
      <c r="E25">
        <v>9</v>
      </c>
      <c r="F25" s="74" t="str">
        <f>"91"</f>
        <v>91</v>
      </c>
      <c r="G25"/>
    </row>
    <row r="26" spans="1:7">
      <c r="A26" s="72" t="s">
        <v>455</v>
      </c>
      <c r="B26">
        <v>20</v>
      </c>
      <c r="C26" t="s">
        <v>436</v>
      </c>
      <c r="D26">
        <v>2024</v>
      </c>
      <c r="E26">
        <v>9</v>
      </c>
      <c r="F26" s="74" t="str">
        <f>"238"</f>
        <v>238</v>
      </c>
      <c r="G26"/>
    </row>
    <row r="27" spans="1:7">
      <c r="A27" s="72" t="s">
        <v>456</v>
      </c>
      <c r="B27">
        <v>21</v>
      </c>
      <c r="C27" t="s">
        <v>436</v>
      </c>
      <c r="D27">
        <v>2024</v>
      </c>
      <c r="E27">
        <v>9</v>
      </c>
      <c r="F27" s="74" t="str">
        <f>"111"</f>
        <v>111</v>
      </c>
      <c r="G27"/>
    </row>
    <row r="28" spans="1:7">
      <c r="A28" s="72" t="s">
        <v>457</v>
      </c>
      <c r="B28">
        <v>22</v>
      </c>
      <c r="C28" t="s">
        <v>436</v>
      </c>
      <c r="D28">
        <v>2024</v>
      </c>
      <c r="E28">
        <v>9</v>
      </c>
      <c r="F28" s="75" t="str">
        <f>"0.206349"</f>
        <v>0.206349</v>
      </c>
      <c r="G28"/>
    </row>
    <row r="29" spans="1:7">
      <c r="A29" s="72" t="s">
        <v>458</v>
      </c>
      <c r="B29">
        <v>23</v>
      </c>
      <c r="C29" t="s">
        <v>436</v>
      </c>
      <c r="D29">
        <v>2024</v>
      </c>
      <c r="E29">
        <v>9</v>
      </c>
      <c r="F29" s="75" t="str">
        <f>"0.539683"</f>
        <v>0.539683</v>
      </c>
      <c r="G29"/>
    </row>
    <row r="30" spans="1:7">
      <c r="A30" s="72" t="s">
        <v>459</v>
      </c>
      <c r="B30">
        <v>24</v>
      </c>
      <c r="C30" t="s">
        <v>436</v>
      </c>
      <c r="D30">
        <v>2024</v>
      </c>
      <c r="E30">
        <v>9</v>
      </c>
      <c r="F30" s="75" t="str">
        <f>"0.251701"</f>
        <v>0.251701</v>
      </c>
      <c r="G30"/>
    </row>
    <row r="31" spans="1:7">
      <c r="A31" s="72" t="s">
        <v>460</v>
      </c>
      <c r="B31">
        <v>25</v>
      </c>
      <c r="C31" t="s">
        <v>436</v>
      </c>
      <c r="D31">
        <v>2024</v>
      </c>
      <c r="E31">
        <v>9</v>
      </c>
      <c r="F31" s="74" t="str">
        <f>"73"</f>
        <v>73</v>
      </c>
      <c r="G31" t="s">
        <v>461</v>
      </c>
    </row>
    <row r="32" spans="1:7">
      <c r="A32" s="72" t="s">
        <v>462</v>
      </c>
      <c r="B32">
        <v>26</v>
      </c>
      <c r="C32" t="s">
        <v>436</v>
      </c>
      <c r="D32">
        <v>2024</v>
      </c>
      <c r="E32">
        <v>9</v>
      </c>
      <c r="F32" s="74" t="str">
        <f>"71"</f>
        <v>71</v>
      </c>
      <c r="G32" t="s">
        <v>504</v>
      </c>
    </row>
    <row r="33" spans="1:7">
      <c r="A33" s="72" t="s">
        <v>464</v>
      </c>
      <c r="B33">
        <v>27</v>
      </c>
      <c r="C33" t="s">
        <v>436</v>
      </c>
      <c r="D33">
        <v>2024</v>
      </c>
      <c r="E33">
        <v>9</v>
      </c>
      <c r="F33" s="74" t="str">
        <f>"50"</f>
        <v>50</v>
      </c>
      <c r="G33" t="s">
        <v>463</v>
      </c>
    </row>
    <row r="34" spans="1:7">
      <c r="A34" s="72" t="s">
        <v>466</v>
      </c>
      <c r="B34">
        <v>28</v>
      </c>
      <c r="C34" t="s">
        <v>436</v>
      </c>
      <c r="D34">
        <v>2024</v>
      </c>
      <c r="E34">
        <v>9</v>
      </c>
      <c r="F34" s="74" t="str">
        <f>"39"</f>
        <v>39</v>
      </c>
      <c r="G34"/>
    </row>
    <row r="35" spans="1:7">
      <c r="A35" s="72" t="s">
        <v>467</v>
      </c>
      <c r="B35">
        <v>29</v>
      </c>
      <c r="C35" t="s">
        <v>436</v>
      </c>
      <c r="D35">
        <v>2024</v>
      </c>
      <c r="E35">
        <v>9</v>
      </c>
      <c r="F35" s="75" t="str">
        <f>"0.65"</f>
        <v>0.65</v>
      </c>
      <c r="G35"/>
    </row>
    <row r="36" spans="1:7">
      <c r="A36" s="72" t="s">
        <v>468</v>
      </c>
      <c r="B36">
        <v>30</v>
      </c>
      <c r="C36" t="s">
        <v>436</v>
      </c>
      <c r="D36">
        <v>2024</v>
      </c>
      <c r="E36">
        <v>9</v>
      </c>
      <c r="F36" s="74" t="str">
        <f t="shared" ref="F36:F60" si="0">"0"</f>
        <v>0</v>
      </c>
      <c r="G36"/>
    </row>
    <row r="37" spans="1:7">
      <c r="A37" s="72" t="s">
        <v>469</v>
      </c>
      <c r="B37">
        <v>31</v>
      </c>
      <c r="C37" t="s">
        <v>436</v>
      </c>
      <c r="D37">
        <v>2024</v>
      </c>
      <c r="E37">
        <v>9</v>
      </c>
      <c r="F37" s="74" t="str">
        <f t="shared" si="0"/>
        <v>0</v>
      </c>
      <c r="G37"/>
    </row>
    <row r="38" spans="1:7">
      <c r="A38" s="7" t="s">
        <v>470</v>
      </c>
      <c r="B38">
        <v>32</v>
      </c>
      <c r="C38" t="s">
        <v>436</v>
      </c>
      <c r="D38">
        <v>2024</v>
      </c>
      <c r="E38">
        <v>9</v>
      </c>
      <c r="F38" s="74" t="str">
        <f t="shared" si="0"/>
        <v>0</v>
      </c>
      <c r="G38"/>
    </row>
    <row r="39" spans="1:7">
      <c r="A39" s="7" t="s">
        <v>471</v>
      </c>
      <c r="B39">
        <v>33</v>
      </c>
      <c r="C39" t="s">
        <v>436</v>
      </c>
      <c r="D39">
        <v>2024</v>
      </c>
      <c r="E39">
        <v>9</v>
      </c>
      <c r="F39" s="74" t="str">
        <f t="shared" si="0"/>
        <v>0</v>
      </c>
      <c r="G39"/>
    </row>
    <row r="40" spans="1:7">
      <c r="A40" s="7" t="s">
        <v>473</v>
      </c>
      <c r="B40">
        <v>34</v>
      </c>
      <c r="C40" t="s">
        <v>436</v>
      </c>
      <c r="D40">
        <v>2024</v>
      </c>
      <c r="E40">
        <v>9</v>
      </c>
      <c r="F40" s="74" t="str">
        <f t="shared" si="0"/>
        <v>0</v>
      </c>
      <c r="G40"/>
    </row>
    <row r="41" spans="1:7">
      <c r="A41" s="7" t="s">
        <v>475</v>
      </c>
      <c r="B41">
        <v>35</v>
      </c>
      <c r="C41" t="s">
        <v>436</v>
      </c>
      <c r="D41">
        <v>2024</v>
      </c>
      <c r="E41">
        <v>9</v>
      </c>
      <c r="F41" s="74" t="str">
        <f t="shared" si="0"/>
        <v>0</v>
      </c>
      <c r="G41"/>
    </row>
    <row r="42" spans="1:7">
      <c r="A42" s="7" t="s">
        <v>477</v>
      </c>
      <c r="B42">
        <v>36</v>
      </c>
      <c r="C42" t="s">
        <v>436</v>
      </c>
      <c r="D42">
        <v>2024</v>
      </c>
      <c r="E42">
        <v>9</v>
      </c>
      <c r="F42" s="74" t="str">
        <f t="shared" si="0"/>
        <v>0</v>
      </c>
      <c r="G42"/>
    </row>
    <row r="43" spans="1:7">
      <c r="A43" s="7" t="s">
        <v>479</v>
      </c>
      <c r="B43">
        <v>37</v>
      </c>
      <c r="C43" t="s">
        <v>436</v>
      </c>
      <c r="D43">
        <v>2024</v>
      </c>
      <c r="E43">
        <v>9</v>
      </c>
      <c r="F43" s="74" t="str">
        <f t="shared" si="0"/>
        <v>0</v>
      </c>
      <c r="G43"/>
    </row>
    <row r="44" spans="1:7">
      <c r="A44" s="7" t="s">
        <v>480</v>
      </c>
      <c r="B44">
        <v>38</v>
      </c>
      <c r="C44" t="s">
        <v>436</v>
      </c>
      <c r="D44">
        <v>2024</v>
      </c>
      <c r="E44">
        <v>9</v>
      </c>
      <c r="F44" s="74" t="str">
        <f t="shared" si="0"/>
        <v>0</v>
      </c>
      <c r="G44"/>
    </row>
    <row r="45" spans="1:7">
      <c r="A45" s="7" t="s">
        <v>481</v>
      </c>
      <c r="B45">
        <v>39</v>
      </c>
      <c r="C45" t="s">
        <v>436</v>
      </c>
      <c r="D45">
        <v>2024</v>
      </c>
      <c r="E45">
        <v>9</v>
      </c>
      <c r="F45" s="74" t="str">
        <f t="shared" si="0"/>
        <v>0</v>
      </c>
      <c r="G45"/>
    </row>
    <row r="46" spans="1:7">
      <c r="A46" s="7" t="s">
        <v>482</v>
      </c>
      <c r="B46">
        <v>40</v>
      </c>
      <c r="C46" t="s">
        <v>436</v>
      </c>
      <c r="D46">
        <v>2024</v>
      </c>
      <c r="E46">
        <v>9</v>
      </c>
      <c r="F46" s="74" t="str">
        <f t="shared" si="0"/>
        <v>0</v>
      </c>
      <c r="G46"/>
    </row>
    <row r="47" spans="1:7">
      <c r="A47" s="7" t="s">
        <v>483</v>
      </c>
      <c r="B47">
        <v>41</v>
      </c>
      <c r="C47" t="s">
        <v>436</v>
      </c>
      <c r="D47">
        <v>2024</v>
      </c>
      <c r="E47">
        <v>9</v>
      </c>
      <c r="F47" s="74" t="str">
        <f t="shared" si="0"/>
        <v>0</v>
      </c>
      <c r="G47"/>
    </row>
    <row r="48" spans="1:7">
      <c r="A48" s="7" t="s">
        <v>484</v>
      </c>
      <c r="B48">
        <v>42</v>
      </c>
      <c r="C48" t="s">
        <v>436</v>
      </c>
      <c r="D48">
        <v>2024</v>
      </c>
      <c r="E48">
        <v>9</v>
      </c>
      <c r="F48" s="74" t="str">
        <f t="shared" si="0"/>
        <v>0</v>
      </c>
      <c r="G48"/>
    </row>
    <row r="49" spans="1:7">
      <c r="A49" s="7" t="s">
        <v>485</v>
      </c>
      <c r="B49">
        <v>43</v>
      </c>
      <c r="C49" t="s">
        <v>436</v>
      </c>
      <c r="D49">
        <v>2024</v>
      </c>
      <c r="E49">
        <v>9</v>
      </c>
      <c r="F49" s="74" t="str">
        <f t="shared" si="0"/>
        <v>0</v>
      </c>
      <c r="G49"/>
    </row>
    <row r="50" spans="1:7">
      <c r="A50" s="7" t="s">
        <v>486</v>
      </c>
      <c r="B50">
        <v>44</v>
      </c>
      <c r="C50" t="s">
        <v>436</v>
      </c>
      <c r="D50">
        <v>2024</v>
      </c>
      <c r="E50">
        <v>9</v>
      </c>
      <c r="F50" s="74" t="str">
        <f t="shared" si="0"/>
        <v>0</v>
      </c>
      <c r="G50"/>
    </row>
    <row r="51" spans="1:7">
      <c r="A51" s="7" t="s">
        <v>487</v>
      </c>
      <c r="B51">
        <v>45</v>
      </c>
      <c r="C51" t="s">
        <v>436</v>
      </c>
      <c r="D51">
        <v>2024</v>
      </c>
      <c r="E51">
        <v>9</v>
      </c>
      <c r="F51" s="74" t="str">
        <f t="shared" si="0"/>
        <v>0</v>
      </c>
      <c r="G51"/>
    </row>
    <row r="52" spans="1:7">
      <c r="A52" s="7" t="s">
        <v>489</v>
      </c>
      <c r="B52">
        <v>46</v>
      </c>
      <c r="C52" t="s">
        <v>436</v>
      </c>
      <c r="D52">
        <v>2024</v>
      </c>
      <c r="E52">
        <v>9</v>
      </c>
      <c r="F52" s="74" t="str">
        <f t="shared" si="0"/>
        <v>0</v>
      </c>
      <c r="G52"/>
    </row>
    <row r="53" spans="1:7">
      <c r="A53" s="7" t="s">
        <v>491</v>
      </c>
      <c r="B53">
        <v>47</v>
      </c>
      <c r="C53" t="s">
        <v>436</v>
      </c>
      <c r="D53">
        <v>2024</v>
      </c>
      <c r="E53">
        <v>9</v>
      </c>
      <c r="F53" s="74" t="str">
        <f t="shared" si="0"/>
        <v>0</v>
      </c>
      <c r="G53"/>
    </row>
    <row r="54" spans="1:7">
      <c r="A54" s="7" t="s">
        <v>492</v>
      </c>
      <c r="B54">
        <v>48</v>
      </c>
      <c r="C54" t="s">
        <v>436</v>
      </c>
      <c r="D54">
        <v>2024</v>
      </c>
      <c r="E54">
        <v>9</v>
      </c>
      <c r="F54" s="74" t="str">
        <f t="shared" si="0"/>
        <v>0</v>
      </c>
      <c r="G54"/>
    </row>
    <row r="55" spans="1:7">
      <c r="A55" s="7" t="s">
        <v>493</v>
      </c>
      <c r="B55">
        <v>49</v>
      </c>
      <c r="C55" t="s">
        <v>436</v>
      </c>
      <c r="D55">
        <v>2024</v>
      </c>
      <c r="E55">
        <v>9</v>
      </c>
      <c r="F55" s="74" t="str">
        <f t="shared" si="0"/>
        <v>0</v>
      </c>
      <c r="G55"/>
    </row>
    <row r="56" spans="1:7">
      <c r="A56" s="7" t="s">
        <v>494</v>
      </c>
      <c r="B56">
        <v>50</v>
      </c>
      <c r="C56" t="s">
        <v>436</v>
      </c>
      <c r="D56">
        <v>2024</v>
      </c>
      <c r="E56">
        <v>9</v>
      </c>
      <c r="F56" s="74" t="str">
        <f t="shared" si="0"/>
        <v>0</v>
      </c>
      <c r="G56"/>
    </row>
    <row r="57" spans="1:7">
      <c r="A57" s="7" t="s">
        <v>495</v>
      </c>
      <c r="B57">
        <v>51</v>
      </c>
      <c r="C57" t="s">
        <v>436</v>
      </c>
      <c r="D57">
        <v>2024</v>
      </c>
      <c r="E57">
        <v>9</v>
      </c>
      <c r="F57" s="74" t="str">
        <f t="shared" si="0"/>
        <v>0</v>
      </c>
      <c r="G57"/>
    </row>
    <row r="58" spans="1:7">
      <c r="A58" s="7" t="s">
        <v>496</v>
      </c>
      <c r="B58">
        <v>52</v>
      </c>
      <c r="C58" t="s">
        <v>436</v>
      </c>
      <c r="D58">
        <v>2024</v>
      </c>
      <c r="E58">
        <v>9</v>
      </c>
      <c r="F58" s="74" t="str">
        <f t="shared" si="0"/>
        <v>0</v>
      </c>
      <c r="G58"/>
    </row>
    <row r="59" spans="1:7">
      <c r="A59" s="7" t="s">
        <v>497</v>
      </c>
      <c r="B59">
        <v>53</v>
      </c>
      <c r="C59" t="s">
        <v>436</v>
      </c>
      <c r="D59">
        <v>2024</v>
      </c>
      <c r="E59">
        <v>9</v>
      </c>
      <c r="F59" s="74" t="str">
        <f t="shared" si="0"/>
        <v>0</v>
      </c>
      <c r="G59"/>
    </row>
    <row r="60" spans="1:7" ht="15" thickBot="1">
      <c r="A60" s="73" t="s">
        <v>498</v>
      </c>
      <c r="B60">
        <v>54</v>
      </c>
      <c r="C60" t="s">
        <v>436</v>
      </c>
      <c r="D60">
        <v>2024</v>
      </c>
      <c r="E60">
        <v>9</v>
      </c>
      <c r="F60" s="74" t="str">
        <f t="shared" si="0"/>
        <v>0</v>
      </c>
      <c r="G60"/>
    </row>
    <row r="61" spans="1:7">
      <c r="A61" s="72" t="s">
        <v>435</v>
      </c>
      <c r="B61">
        <v>1</v>
      </c>
      <c r="C61" t="s">
        <v>499</v>
      </c>
      <c r="D61">
        <v>2024</v>
      </c>
      <c r="E61">
        <v>9</v>
      </c>
      <c r="F61" s="74" t="str">
        <f>"23"</f>
        <v>23</v>
      </c>
      <c r="G61"/>
    </row>
    <row r="62" spans="1:7">
      <c r="A62" s="72" t="s">
        <v>438</v>
      </c>
      <c r="B62">
        <v>2</v>
      </c>
      <c r="C62" t="s">
        <v>499</v>
      </c>
      <c r="D62">
        <v>2024</v>
      </c>
      <c r="E62">
        <v>9</v>
      </c>
      <c r="F62" s="74" t="str">
        <f>"23"</f>
        <v>23</v>
      </c>
      <c r="G62"/>
    </row>
    <row r="63" spans="1:7">
      <c r="A63" s="72" t="s">
        <v>439</v>
      </c>
      <c r="B63">
        <v>3</v>
      </c>
      <c r="C63" t="s">
        <v>499</v>
      </c>
      <c r="D63">
        <v>2024</v>
      </c>
      <c r="E63">
        <v>9</v>
      </c>
      <c r="F63" s="75" t="str">
        <f>"94.62"</f>
        <v>94.62</v>
      </c>
      <c r="G63"/>
    </row>
    <row r="64" spans="1:7">
      <c r="A64" s="72" t="s">
        <v>440</v>
      </c>
      <c r="B64">
        <v>4</v>
      </c>
      <c r="C64" t="s">
        <v>499</v>
      </c>
      <c r="D64">
        <v>2024</v>
      </c>
      <c r="E64">
        <v>9</v>
      </c>
      <c r="F64" s="74" t="str">
        <f>"3"</f>
        <v>3</v>
      </c>
      <c r="G64"/>
    </row>
    <row r="65" spans="1:7">
      <c r="A65" s="72" t="s">
        <v>441</v>
      </c>
      <c r="B65">
        <v>5</v>
      </c>
      <c r="C65" t="s">
        <v>499</v>
      </c>
      <c r="D65">
        <v>2024</v>
      </c>
      <c r="E65">
        <v>9</v>
      </c>
      <c r="F65" s="75" t="str">
        <f>"0.13"</f>
        <v>0.13</v>
      </c>
      <c r="G65"/>
    </row>
    <row r="66" spans="1:7">
      <c r="A66" s="72" t="s">
        <v>442</v>
      </c>
      <c r="B66">
        <v>6</v>
      </c>
      <c r="C66" t="s">
        <v>499</v>
      </c>
      <c r="D66">
        <v>2024</v>
      </c>
      <c r="E66">
        <v>9</v>
      </c>
      <c r="F66" s="74" t="str">
        <f>"111"</f>
        <v>111</v>
      </c>
      <c r="G66"/>
    </row>
    <row r="67" spans="1:7">
      <c r="A67" s="72" t="s">
        <v>443</v>
      </c>
      <c r="B67">
        <v>7</v>
      </c>
      <c r="C67" t="s">
        <v>499</v>
      </c>
      <c r="D67">
        <v>2024</v>
      </c>
      <c r="E67">
        <v>9</v>
      </c>
      <c r="F67" s="75" t="str">
        <f>"1.89"</f>
        <v>1.89</v>
      </c>
      <c r="G67"/>
    </row>
    <row r="68" spans="1:7">
      <c r="A68" s="72" t="s">
        <v>444</v>
      </c>
      <c r="B68">
        <v>8</v>
      </c>
      <c r="C68" t="s">
        <v>499</v>
      </c>
      <c r="D68">
        <v>2024</v>
      </c>
      <c r="E68">
        <v>9</v>
      </c>
      <c r="F68" s="74" t="str">
        <f>"20"</f>
        <v>20</v>
      </c>
      <c r="G68"/>
    </row>
    <row r="69" spans="1:7">
      <c r="A69" s="72" t="s">
        <v>445</v>
      </c>
      <c r="B69">
        <v>9</v>
      </c>
      <c r="C69" t="s">
        <v>499</v>
      </c>
      <c r="D69">
        <v>2024</v>
      </c>
      <c r="E69">
        <v>9</v>
      </c>
      <c r="F69" s="75" t="str">
        <f>"3.3"</f>
        <v>3.3</v>
      </c>
      <c r="G69"/>
    </row>
    <row r="70" spans="1:7">
      <c r="A70" s="72" t="s">
        <v>446</v>
      </c>
      <c r="B70">
        <v>10</v>
      </c>
      <c r="C70" t="s">
        <v>499</v>
      </c>
      <c r="D70">
        <v>2024</v>
      </c>
      <c r="E70">
        <v>9</v>
      </c>
      <c r="F70" s="74" t="str">
        <f>"8"</f>
        <v>8</v>
      </c>
      <c r="G70"/>
    </row>
    <row r="71" spans="1:7">
      <c r="A71" s="72" t="s">
        <v>447</v>
      </c>
      <c r="B71">
        <v>11</v>
      </c>
      <c r="C71" t="s">
        <v>499</v>
      </c>
      <c r="D71">
        <v>2024</v>
      </c>
      <c r="E71">
        <v>9</v>
      </c>
      <c r="F71" s="74" t="str">
        <f>"3"</f>
        <v>3</v>
      </c>
      <c r="G71"/>
    </row>
    <row r="72" spans="1:7">
      <c r="A72" s="72" t="s">
        <v>448</v>
      </c>
      <c r="B72">
        <v>12</v>
      </c>
      <c r="C72" t="s">
        <v>499</v>
      </c>
      <c r="D72">
        <v>2024</v>
      </c>
      <c r="E72">
        <v>9</v>
      </c>
      <c r="F72" s="74" t="str">
        <f>"9"</f>
        <v>9</v>
      </c>
      <c r="G72"/>
    </row>
    <row r="73" spans="1:7">
      <c r="A73" s="72" t="s">
        <v>449</v>
      </c>
      <c r="B73">
        <v>13</v>
      </c>
      <c r="C73" t="s">
        <v>499</v>
      </c>
      <c r="D73">
        <v>2024</v>
      </c>
      <c r="E73">
        <v>9</v>
      </c>
      <c r="F73" s="74" t="str">
        <f>"61"</f>
        <v>61</v>
      </c>
      <c r="G73"/>
    </row>
    <row r="74" spans="1:7">
      <c r="A74" s="72" t="s">
        <v>450</v>
      </c>
      <c r="B74">
        <v>14</v>
      </c>
      <c r="C74" t="s">
        <v>499</v>
      </c>
      <c r="D74">
        <v>2024</v>
      </c>
      <c r="E74">
        <v>9</v>
      </c>
      <c r="F74" s="74" t="str">
        <f>"15"</f>
        <v>15</v>
      </c>
      <c r="G74"/>
    </row>
    <row r="75" spans="1:7">
      <c r="A75" s="72" t="s">
        <v>451</v>
      </c>
      <c r="B75">
        <v>15</v>
      </c>
      <c r="C75" t="s">
        <v>499</v>
      </c>
      <c r="D75">
        <v>2024</v>
      </c>
      <c r="E75">
        <v>9</v>
      </c>
      <c r="F75" s="74" t="str">
        <f>"34"</f>
        <v>34</v>
      </c>
      <c r="G75"/>
    </row>
    <row r="76" spans="1:7">
      <c r="A76" s="72" t="s">
        <v>452</v>
      </c>
      <c r="B76">
        <v>16</v>
      </c>
      <c r="C76" t="s">
        <v>499</v>
      </c>
      <c r="D76">
        <v>2024</v>
      </c>
      <c r="E76">
        <v>9</v>
      </c>
      <c r="F76" s="74" t="str">
        <f>"0"</f>
        <v>0</v>
      </c>
      <c r="G76"/>
    </row>
    <row r="77" spans="1:7">
      <c r="A77" s="72" t="s">
        <v>453</v>
      </c>
      <c r="B77">
        <v>17</v>
      </c>
      <c r="C77" t="s">
        <v>499</v>
      </c>
      <c r="D77">
        <v>2024</v>
      </c>
      <c r="E77">
        <v>9</v>
      </c>
      <c r="F77" s="74" t="str">
        <f>"463"</f>
        <v>463</v>
      </c>
      <c r="G77"/>
    </row>
    <row r="78" spans="1:7">
      <c r="A78" s="72" t="s">
        <v>10</v>
      </c>
      <c r="B78">
        <v>18</v>
      </c>
      <c r="C78" t="s">
        <v>499</v>
      </c>
      <c r="D78">
        <v>2024</v>
      </c>
      <c r="E78">
        <v>9</v>
      </c>
      <c r="F78" s="74" t="str">
        <f>"167"</f>
        <v>167</v>
      </c>
      <c r="G78"/>
    </row>
    <row r="79" spans="1:7">
      <c r="A79" s="72" t="s">
        <v>454</v>
      </c>
      <c r="B79">
        <v>19</v>
      </c>
      <c r="C79" t="s">
        <v>499</v>
      </c>
      <c r="D79">
        <v>2024</v>
      </c>
      <c r="E79">
        <v>9</v>
      </c>
      <c r="F79" s="74" t="str">
        <f>"61"</f>
        <v>61</v>
      </c>
      <c r="G79"/>
    </row>
    <row r="80" spans="1:7">
      <c r="A80" s="72" t="s">
        <v>455</v>
      </c>
      <c r="B80">
        <v>20</v>
      </c>
      <c r="C80" t="s">
        <v>499</v>
      </c>
      <c r="D80">
        <v>2024</v>
      </c>
      <c r="E80">
        <v>9</v>
      </c>
      <c r="F80" s="74" t="str">
        <f>"65"</f>
        <v>65</v>
      </c>
      <c r="G80"/>
    </row>
    <row r="81" spans="1:7">
      <c r="A81" s="72" t="s">
        <v>456</v>
      </c>
      <c r="B81">
        <v>21</v>
      </c>
      <c r="C81" t="s">
        <v>499</v>
      </c>
      <c r="D81">
        <v>2024</v>
      </c>
      <c r="E81">
        <v>9</v>
      </c>
      <c r="F81" s="74" t="str">
        <f>"41"</f>
        <v>41</v>
      </c>
      <c r="G81"/>
    </row>
    <row r="82" spans="1:7">
      <c r="A82" s="72" t="s">
        <v>457</v>
      </c>
      <c r="B82">
        <v>22</v>
      </c>
      <c r="C82" t="s">
        <v>499</v>
      </c>
      <c r="D82">
        <v>2024</v>
      </c>
      <c r="E82">
        <v>9</v>
      </c>
      <c r="F82" s="75" t="str">
        <f>"0.365269"</f>
        <v>0.365269</v>
      </c>
      <c r="G82"/>
    </row>
    <row r="83" spans="1:7">
      <c r="A83" s="72" t="s">
        <v>458</v>
      </c>
      <c r="B83">
        <v>23</v>
      </c>
      <c r="C83" t="s">
        <v>499</v>
      </c>
      <c r="D83">
        <v>2024</v>
      </c>
      <c r="E83">
        <v>9</v>
      </c>
      <c r="F83" s="75" t="str">
        <f>"0.389222"</f>
        <v>0.389222</v>
      </c>
      <c r="G83"/>
    </row>
    <row r="84" spans="1:7">
      <c r="A84" s="72" t="s">
        <v>459</v>
      </c>
      <c r="B84">
        <v>24</v>
      </c>
      <c r="C84" t="s">
        <v>499</v>
      </c>
      <c r="D84">
        <v>2024</v>
      </c>
      <c r="E84">
        <v>9</v>
      </c>
      <c r="F84" s="75" t="str">
        <f>"0.245509"</f>
        <v>0.245509</v>
      </c>
      <c r="G84"/>
    </row>
    <row r="85" spans="1:7">
      <c r="A85" s="72" t="s">
        <v>460</v>
      </c>
      <c r="B85">
        <v>25</v>
      </c>
      <c r="C85" t="s">
        <v>499</v>
      </c>
      <c r="D85">
        <v>2024</v>
      </c>
      <c r="E85">
        <v>9</v>
      </c>
      <c r="F85" s="74" t="str">
        <f>"21"</f>
        <v>21</v>
      </c>
      <c r="G85" t="s">
        <v>465</v>
      </c>
    </row>
    <row r="86" spans="1:7">
      <c r="A86" s="72" t="s">
        <v>462</v>
      </c>
      <c r="B86">
        <v>26</v>
      </c>
      <c r="C86" t="s">
        <v>499</v>
      </c>
      <c r="D86">
        <v>2024</v>
      </c>
      <c r="E86">
        <v>9</v>
      </c>
      <c r="F86" s="74" t="str">
        <f>"18"</f>
        <v>18</v>
      </c>
      <c r="G86" t="s">
        <v>463</v>
      </c>
    </row>
    <row r="87" spans="1:7">
      <c r="A87" s="72" t="s">
        <v>464</v>
      </c>
      <c r="B87">
        <v>27</v>
      </c>
      <c r="C87" t="s">
        <v>499</v>
      </c>
      <c r="D87">
        <v>2024</v>
      </c>
      <c r="E87">
        <v>9</v>
      </c>
      <c r="F87" s="74" t="str">
        <f>"12"</f>
        <v>12</v>
      </c>
      <c r="G87" t="s">
        <v>523</v>
      </c>
    </row>
    <row r="88" spans="1:7">
      <c r="A88" s="72" t="s">
        <v>466</v>
      </c>
      <c r="B88">
        <v>28</v>
      </c>
      <c r="C88" t="s">
        <v>499</v>
      </c>
      <c r="D88">
        <v>2024</v>
      </c>
      <c r="E88">
        <v>9</v>
      </c>
      <c r="F88" s="74" t="str">
        <f>"102"</f>
        <v>102</v>
      </c>
      <c r="G88"/>
    </row>
    <row r="89" spans="1:7">
      <c r="A89" s="72" t="s">
        <v>467</v>
      </c>
      <c r="B89">
        <v>29</v>
      </c>
      <c r="C89" t="s">
        <v>499</v>
      </c>
      <c r="D89">
        <v>2024</v>
      </c>
      <c r="E89">
        <v>9</v>
      </c>
      <c r="F89" s="75" t="str">
        <f>"0.86"</f>
        <v>0.86</v>
      </c>
      <c r="G89"/>
    </row>
    <row r="90" spans="1:7">
      <c r="A90" s="72" t="s">
        <v>468</v>
      </c>
      <c r="B90">
        <v>30</v>
      </c>
      <c r="C90" t="s">
        <v>499</v>
      </c>
      <c r="D90">
        <v>2024</v>
      </c>
      <c r="E90">
        <v>9</v>
      </c>
      <c r="F90" s="74" t="str">
        <f t="shared" ref="F90:F114" si="1">"0"</f>
        <v>0</v>
      </c>
      <c r="G90"/>
    </row>
    <row r="91" spans="1:7">
      <c r="A91" s="72" t="s">
        <v>469</v>
      </c>
      <c r="B91">
        <v>31</v>
      </c>
      <c r="C91" t="s">
        <v>499</v>
      </c>
      <c r="D91">
        <v>2024</v>
      </c>
      <c r="E91">
        <v>9</v>
      </c>
      <c r="F91" s="74" t="str">
        <f t="shared" si="1"/>
        <v>0</v>
      </c>
      <c r="G91"/>
    </row>
    <row r="92" spans="1:7">
      <c r="A92" s="7" t="s">
        <v>470</v>
      </c>
      <c r="B92">
        <v>32</v>
      </c>
      <c r="C92" t="s">
        <v>499</v>
      </c>
      <c r="D92">
        <v>2024</v>
      </c>
      <c r="E92">
        <v>9</v>
      </c>
      <c r="F92" s="74" t="str">
        <f t="shared" si="1"/>
        <v>0</v>
      </c>
      <c r="G92"/>
    </row>
    <row r="93" spans="1:7">
      <c r="A93" s="7" t="s">
        <v>471</v>
      </c>
      <c r="B93">
        <v>33</v>
      </c>
      <c r="C93" t="s">
        <v>499</v>
      </c>
      <c r="D93">
        <v>2024</v>
      </c>
      <c r="E93">
        <v>9</v>
      </c>
      <c r="F93" s="74" t="str">
        <f t="shared" si="1"/>
        <v>0</v>
      </c>
      <c r="G93"/>
    </row>
    <row r="94" spans="1:7">
      <c r="A94" s="7" t="s">
        <v>473</v>
      </c>
      <c r="B94">
        <v>34</v>
      </c>
      <c r="C94" t="s">
        <v>499</v>
      </c>
      <c r="D94">
        <v>2024</v>
      </c>
      <c r="E94">
        <v>9</v>
      </c>
      <c r="F94" s="74" t="str">
        <f t="shared" si="1"/>
        <v>0</v>
      </c>
      <c r="G94"/>
    </row>
    <row r="95" spans="1:7">
      <c r="A95" s="7" t="s">
        <v>475</v>
      </c>
      <c r="B95">
        <v>35</v>
      </c>
      <c r="C95" t="s">
        <v>499</v>
      </c>
      <c r="D95">
        <v>2024</v>
      </c>
      <c r="E95">
        <v>9</v>
      </c>
      <c r="F95" s="74" t="str">
        <f t="shared" si="1"/>
        <v>0</v>
      </c>
      <c r="G95"/>
    </row>
    <row r="96" spans="1:7">
      <c r="A96" s="7" t="s">
        <v>477</v>
      </c>
      <c r="B96">
        <v>36</v>
      </c>
      <c r="C96" t="s">
        <v>499</v>
      </c>
      <c r="D96">
        <v>2024</v>
      </c>
      <c r="E96">
        <v>9</v>
      </c>
      <c r="F96" s="74" t="str">
        <f t="shared" si="1"/>
        <v>0</v>
      </c>
      <c r="G96"/>
    </row>
    <row r="97" spans="1:7">
      <c r="A97" s="7" t="s">
        <v>479</v>
      </c>
      <c r="B97">
        <v>37</v>
      </c>
      <c r="C97" t="s">
        <v>499</v>
      </c>
      <c r="D97">
        <v>2024</v>
      </c>
      <c r="E97">
        <v>9</v>
      </c>
      <c r="F97" s="74" t="str">
        <f t="shared" si="1"/>
        <v>0</v>
      </c>
      <c r="G97"/>
    </row>
    <row r="98" spans="1:7">
      <c r="A98" s="7" t="s">
        <v>480</v>
      </c>
      <c r="B98">
        <v>38</v>
      </c>
      <c r="C98" t="s">
        <v>499</v>
      </c>
      <c r="D98">
        <v>2024</v>
      </c>
      <c r="E98">
        <v>9</v>
      </c>
      <c r="F98" s="74" t="str">
        <f t="shared" si="1"/>
        <v>0</v>
      </c>
      <c r="G98"/>
    </row>
    <row r="99" spans="1:7">
      <c r="A99" s="7" t="s">
        <v>481</v>
      </c>
      <c r="B99">
        <v>39</v>
      </c>
      <c r="C99" t="s">
        <v>499</v>
      </c>
      <c r="D99">
        <v>2024</v>
      </c>
      <c r="E99">
        <v>9</v>
      </c>
      <c r="F99" s="74" t="str">
        <f t="shared" si="1"/>
        <v>0</v>
      </c>
      <c r="G99"/>
    </row>
    <row r="100" spans="1:7">
      <c r="A100" s="7" t="s">
        <v>482</v>
      </c>
      <c r="B100">
        <v>40</v>
      </c>
      <c r="C100" t="s">
        <v>499</v>
      </c>
      <c r="D100">
        <v>2024</v>
      </c>
      <c r="E100">
        <v>9</v>
      </c>
      <c r="F100" s="74" t="str">
        <f t="shared" si="1"/>
        <v>0</v>
      </c>
      <c r="G100"/>
    </row>
    <row r="101" spans="1:7">
      <c r="A101" s="7" t="s">
        <v>483</v>
      </c>
      <c r="B101">
        <v>41</v>
      </c>
      <c r="C101" t="s">
        <v>499</v>
      </c>
      <c r="D101">
        <v>2024</v>
      </c>
      <c r="E101">
        <v>9</v>
      </c>
      <c r="F101" s="74" t="str">
        <f t="shared" si="1"/>
        <v>0</v>
      </c>
      <c r="G101"/>
    </row>
    <row r="102" spans="1:7">
      <c r="A102" s="7" t="s">
        <v>484</v>
      </c>
      <c r="B102">
        <v>42</v>
      </c>
      <c r="C102" t="s">
        <v>499</v>
      </c>
      <c r="D102">
        <v>2024</v>
      </c>
      <c r="E102">
        <v>9</v>
      </c>
      <c r="F102" s="74" t="str">
        <f t="shared" si="1"/>
        <v>0</v>
      </c>
      <c r="G102"/>
    </row>
    <row r="103" spans="1:7">
      <c r="A103" s="7" t="s">
        <v>485</v>
      </c>
      <c r="B103">
        <v>43</v>
      </c>
      <c r="C103" t="s">
        <v>499</v>
      </c>
      <c r="D103">
        <v>2024</v>
      </c>
      <c r="E103">
        <v>9</v>
      </c>
      <c r="F103" s="74" t="str">
        <f t="shared" si="1"/>
        <v>0</v>
      </c>
      <c r="G103"/>
    </row>
    <row r="104" spans="1:7">
      <c r="A104" s="7" t="s">
        <v>486</v>
      </c>
      <c r="B104">
        <v>44</v>
      </c>
      <c r="C104" t="s">
        <v>499</v>
      </c>
      <c r="D104">
        <v>2024</v>
      </c>
      <c r="E104">
        <v>9</v>
      </c>
      <c r="F104" s="74" t="str">
        <f t="shared" si="1"/>
        <v>0</v>
      </c>
      <c r="G104"/>
    </row>
    <row r="105" spans="1:7">
      <c r="A105" s="7" t="s">
        <v>487</v>
      </c>
      <c r="B105">
        <v>45</v>
      </c>
      <c r="C105" t="s">
        <v>499</v>
      </c>
      <c r="D105">
        <v>2024</v>
      </c>
      <c r="E105">
        <v>9</v>
      </c>
      <c r="F105" s="74" t="str">
        <f t="shared" si="1"/>
        <v>0</v>
      </c>
      <c r="G105"/>
    </row>
    <row r="106" spans="1:7">
      <c r="A106" s="7" t="s">
        <v>489</v>
      </c>
      <c r="B106">
        <v>46</v>
      </c>
      <c r="C106" t="s">
        <v>499</v>
      </c>
      <c r="D106">
        <v>2024</v>
      </c>
      <c r="E106">
        <v>9</v>
      </c>
      <c r="F106" s="74" t="str">
        <f t="shared" si="1"/>
        <v>0</v>
      </c>
      <c r="G106"/>
    </row>
    <row r="107" spans="1:7">
      <c r="A107" s="7" t="s">
        <v>491</v>
      </c>
      <c r="B107">
        <v>47</v>
      </c>
      <c r="C107" t="s">
        <v>499</v>
      </c>
      <c r="D107">
        <v>2024</v>
      </c>
      <c r="E107">
        <v>9</v>
      </c>
      <c r="F107" s="74" t="str">
        <f t="shared" si="1"/>
        <v>0</v>
      </c>
      <c r="G107"/>
    </row>
    <row r="108" spans="1:7">
      <c r="A108" s="7" t="s">
        <v>492</v>
      </c>
      <c r="B108">
        <v>48</v>
      </c>
      <c r="C108" t="s">
        <v>499</v>
      </c>
      <c r="D108">
        <v>2024</v>
      </c>
      <c r="E108">
        <v>9</v>
      </c>
      <c r="F108" s="74" t="str">
        <f t="shared" si="1"/>
        <v>0</v>
      </c>
      <c r="G108"/>
    </row>
    <row r="109" spans="1:7">
      <c r="A109" s="7" t="s">
        <v>493</v>
      </c>
      <c r="B109">
        <v>49</v>
      </c>
      <c r="C109" t="s">
        <v>499</v>
      </c>
      <c r="D109">
        <v>2024</v>
      </c>
      <c r="E109">
        <v>9</v>
      </c>
      <c r="F109" s="74" t="str">
        <f t="shared" si="1"/>
        <v>0</v>
      </c>
      <c r="G109"/>
    </row>
    <row r="110" spans="1:7">
      <c r="A110" s="7" t="s">
        <v>494</v>
      </c>
      <c r="B110">
        <v>50</v>
      </c>
      <c r="C110" t="s">
        <v>499</v>
      </c>
      <c r="D110">
        <v>2024</v>
      </c>
      <c r="E110">
        <v>9</v>
      </c>
      <c r="F110" s="74" t="str">
        <f t="shared" si="1"/>
        <v>0</v>
      </c>
      <c r="G110"/>
    </row>
    <row r="111" spans="1:7">
      <c r="A111" s="7" t="s">
        <v>495</v>
      </c>
      <c r="B111">
        <v>51</v>
      </c>
      <c r="C111" t="s">
        <v>499</v>
      </c>
      <c r="D111">
        <v>2024</v>
      </c>
      <c r="E111">
        <v>9</v>
      </c>
      <c r="F111" s="74" t="str">
        <f t="shared" si="1"/>
        <v>0</v>
      </c>
      <c r="G111"/>
    </row>
    <row r="112" spans="1:7">
      <c r="A112" s="7" t="s">
        <v>496</v>
      </c>
      <c r="B112">
        <v>52</v>
      </c>
      <c r="C112" t="s">
        <v>499</v>
      </c>
      <c r="D112">
        <v>2024</v>
      </c>
      <c r="E112">
        <v>9</v>
      </c>
      <c r="F112" s="74" t="str">
        <f t="shared" si="1"/>
        <v>0</v>
      </c>
      <c r="G112"/>
    </row>
    <row r="113" spans="1:7">
      <c r="A113" s="7" t="s">
        <v>497</v>
      </c>
      <c r="B113">
        <v>53</v>
      </c>
      <c r="C113" t="s">
        <v>499</v>
      </c>
      <c r="D113">
        <v>2024</v>
      </c>
      <c r="E113">
        <v>9</v>
      </c>
      <c r="F113" s="74" t="str">
        <f t="shared" si="1"/>
        <v>0</v>
      </c>
      <c r="G113"/>
    </row>
    <row r="114" spans="1:7" ht="15" thickBot="1">
      <c r="A114" s="73" t="s">
        <v>498</v>
      </c>
      <c r="B114">
        <v>54</v>
      </c>
      <c r="C114" t="s">
        <v>499</v>
      </c>
      <c r="D114">
        <v>2024</v>
      </c>
      <c r="E114">
        <v>9</v>
      </c>
      <c r="F114" s="74" t="str">
        <f t="shared" si="1"/>
        <v>0</v>
      </c>
      <c r="G114"/>
    </row>
    <row r="115" spans="1:7">
      <c r="A115" s="72" t="s">
        <v>435</v>
      </c>
      <c r="B115">
        <v>1</v>
      </c>
      <c r="C115" t="s">
        <v>503</v>
      </c>
      <c r="D115">
        <v>2024</v>
      </c>
      <c r="E115">
        <v>9</v>
      </c>
      <c r="F115" s="74" t="str">
        <f>"9"</f>
        <v>9</v>
      </c>
      <c r="G115"/>
    </row>
    <row r="116" spans="1:7">
      <c r="A116" s="72" t="s">
        <v>438</v>
      </c>
      <c r="B116">
        <v>2</v>
      </c>
      <c r="C116" t="s">
        <v>503</v>
      </c>
      <c r="D116">
        <v>2024</v>
      </c>
      <c r="E116">
        <v>9</v>
      </c>
      <c r="F116" s="74" t="str">
        <f>"9"</f>
        <v>9</v>
      </c>
      <c r="G116"/>
    </row>
    <row r="117" spans="1:7">
      <c r="A117" s="72" t="s">
        <v>439</v>
      </c>
      <c r="B117">
        <v>3</v>
      </c>
      <c r="C117" t="s">
        <v>503</v>
      </c>
      <c r="D117">
        <v>2024</v>
      </c>
      <c r="E117">
        <v>9</v>
      </c>
      <c r="F117" s="75" t="str">
        <f>"97.88"</f>
        <v>97.88</v>
      </c>
      <c r="G117"/>
    </row>
    <row r="118" spans="1:7">
      <c r="A118" s="72" t="s">
        <v>440</v>
      </c>
      <c r="B118">
        <v>4</v>
      </c>
      <c r="C118" t="s">
        <v>503</v>
      </c>
      <c r="D118">
        <v>2024</v>
      </c>
      <c r="E118">
        <v>9</v>
      </c>
      <c r="F118" s="74" t="str">
        <f>"0"</f>
        <v>0</v>
      </c>
      <c r="G118"/>
    </row>
    <row r="119" spans="1:7">
      <c r="A119" s="72" t="s">
        <v>441</v>
      </c>
      <c r="B119">
        <v>5</v>
      </c>
      <c r="C119" t="s">
        <v>503</v>
      </c>
      <c r="D119">
        <v>2024</v>
      </c>
      <c r="E119">
        <v>9</v>
      </c>
      <c r="F119" s="74" t="str">
        <f>"0"</f>
        <v>0</v>
      </c>
      <c r="G119"/>
    </row>
    <row r="120" spans="1:7">
      <c r="A120" s="72" t="s">
        <v>442</v>
      </c>
      <c r="B120">
        <v>6</v>
      </c>
      <c r="C120" t="s">
        <v>503</v>
      </c>
      <c r="D120">
        <v>2024</v>
      </c>
      <c r="E120">
        <v>9</v>
      </c>
      <c r="F120" s="74" t="str">
        <f>"19"</f>
        <v>19</v>
      </c>
      <c r="G120"/>
    </row>
    <row r="121" spans="1:7">
      <c r="A121" s="72" t="s">
        <v>443</v>
      </c>
      <c r="B121">
        <v>7</v>
      </c>
      <c r="C121" t="s">
        <v>503</v>
      </c>
      <c r="D121">
        <v>2024</v>
      </c>
      <c r="E121">
        <v>9</v>
      </c>
      <c r="F121" s="75" t="str">
        <f>"2.84"</f>
        <v>2.84</v>
      </c>
      <c r="G121"/>
    </row>
    <row r="122" spans="1:7">
      <c r="A122" s="72" t="s">
        <v>444</v>
      </c>
      <c r="B122">
        <v>8</v>
      </c>
      <c r="C122" t="s">
        <v>503</v>
      </c>
      <c r="D122">
        <v>2024</v>
      </c>
      <c r="E122">
        <v>9</v>
      </c>
      <c r="F122" s="74" t="str">
        <f>"0"</f>
        <v>0</v>
      </c>
      <c r="G122"/>
    </row>
    <row r="123" spans="1:7">
      <c r="A123" s="72" t="s">
        <v>445</v>
      </c>
      <c r="B123">
        <v>9</v>
      </c>
      <c r="C123" t="s">
        <v>503</v>
      </c>
      <c r="D123">
        <v>2024</v>
      </c>
      <c r="E123">
        <v>9</v>
      </c>
      <c r="F123" s="74" t="str">
        <f>"0"</f>
        <v>0</v>
      </c>
      <c r="G123"/>
    </row>
    <row r="124" spans="1:7">
      <c r="A124" s="72" t="s">
        <v>446</v>
      </c>
      <c r="B124">
        <v>10</v>
      </c>
      <c r="C124" t="s">
        <v>503</v>
      </c>
      <c r="D124">
        <v>2024</v>
      </c>
      <c r="E124">
        <v>9</v>
      </c>
      <c r="F124" s="74" t="str">
        <f>"0"</f>
        <v>0</v>
      </c>
      <c r="G124"/>
    </row>
    <row r="125" spans="1:7">
      <c r="A125" s="72" t="s">
        <v>447</v>
      </c>
      <c r="B125">
        <v>11</v>
      </c>
      <c r="C125" t="s">
        <v>503</v>
      </c>
      <c r="D125">
        <v>2024</v>
      </c>
      <c r="E125">
        <v>9</v>
      </c>
      <c r="F125" s="74" t="str">
        <f>"0"</f>
        <v>0</v>
      </c>
      <c r="G125"/>
    </row>
    <row r="126" spans="1:7">
      <c r="A126" s="72" t="s">
        <v>448</v>
      </c>
      <c r="B126">
        <v>12</v>
      </c>
      <c r="C126" t="s">
        <v>503</v>
      </c>
      <c r="D126">
        <v>2024</v>
      </c>
      <c r="E126">
        <v>9</v>
      </c>
      <c r="F126" s="74" t="str">
        <f>"0"</f>
        <v>0</v>
      </c>
      <c r="G126"/>
    </row>
    <row r="127" spans="1:7">
      <c r="A127" s="72" t="s">
        <v>449</v>
      </c>
      <c r="B127">
        <v>13</v>
      </c>
      <c r="C127" t="s">
        <v>503</v>
      </c>
      <c r="D127">
        <v>2024</v>
      </c>
      <c r="E127">
        <v>9</v>
      </c>
      <c r="F127" s="74" t="str">
        <f>"7"</f>
        <v>7</v>
      </c>
      <c r="G127"/>
    </row>
    <row r="128" spans="1:7">
      <c r="A128" s="72" t="s">
        <v>450</v>
      </c>
      <c r="B128">
        <v>14</v>
      </c>
      <c r="C128" t="s">
        <v>503</v>
      </c>
      <c r="D128">
        <v>2024</v>
      </c>
      <c r="E128">
        <v>9</v>
      </c>
      <c r="F128" s="74" t="str">
        <f>"3"</f>
        <v>3</v>
      </c>
      <c r="G128"/>
    </row>
    <row r="129" spans="1:7">
      <c r="A129" s="72" t="s">
        <v>451</v>
      </c>
      <c r="B129">
        <v>15</v>
      </c>
      <c r="C129" t="s">
        <v>503</v>
      </c>
      <c r="D129">
        <v>2024</v>
      </c>
      <c r="E129">
        <v>9</v>
      </c>
      <c r="F129" s="74" t="str">
        <f>"7"</f>
        <v>7</v>
      </c>
      <c r="G129"/>
    </row>
    <row r="130" spans="1:7">
      <c r="A130" s="72" t="s">
        <v>452</v>
      </c>
      <c r="B130">
        <v>16</v>
      </c>
      <c r="C130" t="s">
        <v>503</v>
      </c>
      <c r="D130">
        <v>2024</v>
      </c>
      <c r="E130">
        <v>9</v>
      </c>
      <c r="F130" s="74" t="str">
        <f>"0"</f>
        <v>0</v>
      </c>
      <c r="G130"/>
    </row>
    <row r="131" spans="1:7">
      <c r="A131" s="72" t="s">
        <v>453</v>
      </c>
      <c r="B131">
        <v>17</v>
      </c>
      <c r="C131" t="s">
        <v>503</v>
      </c>
      <c r="D131">
        <v>2024</v>
      </c>
      <c r="E131">
        <v>9</v>
      </c>
      <c r="F131" s="74" t="str">
        <f>"460"</f>
        <v>460</v>
      </c>
      <c r="G131"/>
    </row>
    <row r="132" spans="1:7">
      <c r="A132" s="72" t="s">
        <v>10</v>
      </c>
      <c r="B132">
        <v>18</v>
      </c>
      <c r="C132" t="s">
        <v>503</v>
      </c>
      <c r="D132">
        <v>2024</v>
      </c>
      <c r="E132">
        <v>9</v>
      </c>
      <c r="F132" s="74" t="str">
        <f>"191"</f>
        <v>191</v>
      </c>
      <c r="G132"/>
    </row>
    <row r="133" spans="1:7">
      <c r="A133" s="72" t="s">
        <v>454</v>
      </c>
      <c r="B133">
        <v>19</v>
      </c>
      <c r="C133" t="s">
        <v>503</v>
      </c>
      <c r="D133">
        <v>2024</v>
      </c>
      <c r="E133">
        <v>9</v>
      </c>
      <c r="F133" s="74" t="str">
        <f>"45"</f>
        <v>45</v>
      </c>
      <c r="G133"/>
    </row>
    <row r="134" spans="1:7">
      <c r="A134" s="72" t="s">
        <v>455</v>
      </c>
      <c r="B134">
        <v>20</v>
      </c>
      <c r="C134" t="s">
        <v>503</v>
      </c>
      <c r="D134">
        <v>2024</v>
      </c>
      <c r="E134">
        <v>9</v>
      </c>
      <c r="F134" s="74" t="str">
        <f>"65"</f>
        <v>65</v>
      </c>
      <c r="G134"/>
    </row>
    <row r="135" spans="1:7">
      <c r="A135" s="72" t="s">
        <v>456</v>
      </c>
      <c r="B135">
        <v>21</v>
      </c>
      <c r="C135" t="s">
        <v>503</v>
      </c>
      <c r="D135">
        <v>2024</v>
      </c>
      <c r="E135">
        <v>9</v>
      </c>
      <c r="F135" s="74" t="str">
        <f>"81"</f>
        <v>81</v>
      </c>
      <c r="G135"/>
    </row>
    <row r="136" spans="1:7">
      <c r="A136" s="72" t="s">
        <v>457</v>
      </c>
      <c r="B136">
        <v>22</v>
      </c>
      <c r="C136" t="s">
        <v>503</v>
      </c>
      <c r="D136">
        <v>2024</v>
      </c>
      <c r="E136">
        <v>9</v>
      </c>
      <c r="F136" s="75" t="str">
        <f>"0.235602"</f>
        <v>0.235602</v>
      </c>
      <c r="G136"/>
    </row>
    <row r="137" spans="1:7">
      <c r="A137" s="72" t="s">
        <v>458</v>
      </c>
      <c r="B137">
        <v>23</v>
      </c>
      <c r="C137" t="s">
        <v>503</v>
      </c>
      <c r="D137">
        <v>2024</v>
      </c>
      <c r="E137">
        <v>9</v>
      </c>
      <c r="F137" s="75" t="str">
        <f>"0.340314"</f>
        <v>0.340314</v>
      </c>
      <c r="G137"/>
    </row>
    <row r="138" spans="1:7">
      <c r="A138" s="72" t="s">
        <v>459</v>
      </c>
      <c r="B138">
        <v>24</v>
      </c>
      <c r="C138" t="s">
        <v>503</v>
      </c>
      <c r="D138">
        <v>2024</v>
      </c>
      <c r="E138">
        <v>9</v>
      </c>
      <c r="F138" s="75" t="str">
        <f>"0.424084"</f>
        <v>0.424084</v>
      </c>
      <c r="G138"/>
    </row>
    <row r="139" spans="1:7">
      <c r="A139" s="72" t="s">
        <v>460</v>
      </c>
      <c r="B139">
        <v>25</v>
      </c>
      <c r="C139" t="s">
        <v>503</v>
      </c>
      <c r="D139">
        <v>2024</v>
      </c>
      <c r="E139">
        <v>9</v>
      </c>
      <c r="F139" s="74" t="str">
        <f>"43"</f>
        <v>43</v>
      </c>
      <c r="G139" t="s">
        <v>504</v>
      </c>
    </row>
    <row r="140" spans="1:7">
      <c r="A140" s="72" t="s">
        <v>462</v>
      </c>
      <c r="B140">
        <v>26</v>
      </c>
      <c r="C140" t="s">
        <v>503</v>
      </c>
      <c r="D140">
        <v>2024</v>
      </c>
      <c r="E140">
        <v>9</v>
      </c>
      <c r="F140" s="74" t="str">
        <f>"8"</f>
        <v>8</v>
      </c>
      <c r="G140" t="s">
        <v>463</v>
      </c>
    </row>
    <row r="141" spans="1:7">
      <c r="A141" s="72" t="s">
        <v>464</v>
      </c>
      <c r="B141">
        <v>27</v>
      </c>
      <c r="C141" t="s">
        <v>503</v>
      </c>
      <c r="D141">
        <v>2024</v>
      </c>
      <c r="E141">
        <v>9</v>
      </c>
      <c r="F141" s="74" t="str">
        <f>"6"</f>
        <v>6</v>
      </c>
      <c r="G141" t="s">
        <v>461</v>
      </c>
    </row>
    <row r="142" spans="1:7">
      <c r="A142" s="72" t="s">
        <v>466</v>
      </c>
      <c r="B142">
        <v>28</v>
      </c>
      <c r="C142" t="s">
        <v>503</v>
      </c>
      <c r="D142">
        <v>2024</v>
      </c>
      <c r="E142">
        <v>9</v>
      </c>
      <c r="F142" s="74" t="str">
        <f>"88"</f>
        <v>88</v>
      </c>
      <c r="G142"/>
    </row>
    <row r="143" spans="1:7">
      <c r="A143" s="72" t="s">
        <v>467</v>
      </c>
      <c r="B143">
        <v>29</v>
      </c>
      <c r="C143" t="s">
        <v>503</v>
      </c>
      <c r="D143">
        <v>2024</v>
      </c>
      <c r="E143">
        <v>9</v>
      </c>
      <c r="F143" s="75" t="str">
        <f>"0.88"</f>
        <v>0.88</v>
      </c>
      <c r="G143"/>
    </row>
    <row r="144" spans="1:7">
      <c r="A144" s="72" t="s">
        <v>468</v>
      </c>
      <c r="B144">
        <v>30</v>
      </c>
      <c r="C144" t="s">
        <v>503</v>
      </c>
      <c r="D144">
        <v>2024</v>
      </c>
      <c r="E144">
        <v>9</v>
      </c>
      <c r="F144" s="74" t="str">
        <f t="shared" ref="F144:F168" si="2">"0"</f>
        <v>0</v>
      </c>
      <c r="G144"/>
    </row>
    <row r="145" spans="1:7">
      <c r="A145" s="72" t="s">
        <v>469</v>
      </c>
      <c r="B145">
        <v>31</v>
      </c>
      <c r="C145" t="s">
        <v>503</v>
      </c>
      <c r="D145">
        <v>2024</v>
      </c>
      <c r="E145">
        <v>9</v>
      </c>
      <c r="F145" s="74" t="str">
        <f t="shared" si="2"/>
        <v>0</v>
      </c>
      <c r="G145"/>
    </row>
    <row r="146" spans="1:7">
      <c r="A146" s="7" t="s">
        <v>470</v>
      </c>
      <c r="B146">
        <v>32</v>
      </c>
      <c r="C146" t="s">
        <v>503</v>
      </c>
      <c r="D146">
        <v>2024</v>
      </c>
      <c r="E146">
        <v>9</v>
      </c>
      <c r="F146" s="74" t="str">
        <f t="shared" si="2"/>
        <v>0</v>
      </c>
      <c r="G146"/>
    </row>
    <row r="147" spans="1:7">
      <c r="A147" s="7" t="s">
        <v>471</v>
      </c>
      <c r="B147">
        <v>33</v>
      </c>
      <c r="C147" t="s">
        <v>503</v>
      </c>
      <c r="D147">
        <v>2024</v>
      </c>
      <c r="E147">
        <v>9</v>
      </c>
      <c r="F147" s="74" t="str">
        <f t="shared" si="2"/>
        <v>0</v>
      </c>
      <c r="G147"/>
    </row>
    <row r="148" spans="1:7">
      <c r="A148" s="7" t="s">
        <v>473</v>
      </c>
      <c r="B148">
        <v>34</v>
      </c>
      <c r="C148" t="s">
        <v>503</v>
      </c>
      <c r="D148">
        <v>2024</v>
      </c>
      <c r="E148">
        <v>9</v>
      </c>
      <c r="F148" s="74" t="str">
        <f t="shared" si="2"/>
        <v>0</v>
      </c>
      <c r="G148"/>
    </row>
    <row r="149" spans="1:7">
      <c r="A149" s="7" t="s">
        <v>475</v>
      </c>
      <c r="B149">
        <v>35</v>
      </c>
      <c r="C149" t="s">
        <v>503</v>
      </c>
      <c r="D149">
        <v>2024</v>
      </c>
      <c r="E149">
        <v>9</v>
      </c>
      <c r="F149" s="74" t="str">
        <f t="shared" si="2"/>
        <v>0</v>
      </c>
      <c r="G149"/>
    </row>
    <row r="150" spans="1:7">
      <c r="A150" s="7" t="s">
        <v>477</v>
      </c>
      <c r="B150">
        <v>36</v>
      </c>
      <c r="C150" t="s">
        <v>503</v>
      </c>
      <c r="D150">
        <v>2024</v>
      </c>
      <c r="E150">
        <v>9</v>
      </c>
      <c r="F150" s="74" t="str">
        <f t="shared" si="2"/>
        <v>0</v>
      </c>
      <c r="G150"/>
    </row>
    <row r="151" spans="1:7">
      <c r="A151" s="7" t="s">
        <v>479</v>
      </c>
      <c r="B151">
        <v>37</v>
      </c>
      <c r="C151" t="s">
        <v>503</v>
      </c>
      <c r="D151">
        <v>2024</v>
      </c>
      <c r="E151">
        <v>9</v>
      </c>
      <c r="F151" s="74" t="str">
        <f t="shared" si="2"/>
        <v>0</v>
      </c>
      <c r="G151"/>
    </row>
    <row r="152" spans="1:7">
      <c r="A152" s="7" t="s">
        <v>480</v>
      </c>
      <c r="B152">
        <v>38</v>
      </c>
      <c r="C152" t="s">
        <v>503</v>
      </c>
      <c r="D152">
        <v>2024</v>
      </c>
      <c r="E152">
        <v>9</v>
      </c>
      <c r="F152" s="74" t="str">
        <f t="shared" si="2"/>
        <v>0</v>
      </c>
      <c r="G152"/>
    </row>
    <row r="153" spans="1:7">
      <c r="A153" s="7" t="s">
        <v>481</v>
      </c>
      <c r="B153">
        <v>39</v>
      </c>
      <c r="C153" t="s">
        <v>503</v>
      </c>
      <c r="D153">
        <v>2024</v>
      </c>
      <c r="E153">
        <v>9</v>
      </c>
      <c r="F153" s="74" t="str">
        <f t="shared" si="2"/>
        <v>0</v>
      </c>
      <c r="G153"/>
    </row>
    <row r="154" spans="1:7">
      <c r="A154" s="7" t="s">
        <v>482</v>
      </c>
      <c r="B154">
        <v>40</v>
      </c>
      <c r="C154" t="s">
        <v>503</v>
      </c>
      <c r="D154">
        <v>2024</v>
      </c>
      <c r="E154">
        <v>9</v>
      </c>
      <c r="F154" s="74" t="str">
        <f t="shared" si="2"/>
        <v>0</v>
      </c>
      <c r="G154"/>
    </row>
    <row r="155" spans="1:7">
      <c r="A155" s="7" t="s">
        <v>483</v>
      </c>
      <c r="B155">
        <v>41</v>
      </c>
      <c r="C155" t="s">
        <v>503</v>
      </c>
      <c r="D155">
        <v>2024</v>
      </c>
      <c r="E155">
        <v>9</v>
      </c>
      <c r="F155" s="74" t="str">
        <f t="shared" si="2"/>
        <v>0</v>
      </c>
      <c r="G155"/>
    </row>
    <row r="156" spans="1:7">
      <c r="A156" s="7" t="s">
        <v>484</v>
      </c>
      <c r="B156">
        <v>42</v>
      </c>
      <c r="C156" t="s">
        <v>503</v>
      </c>
      <c r="D156">
        <v>2024</v>
      </c>
      <c r="E156">
        <v>9</v>
      </c>
      <c r="F156" s="74" t="str">
        <f t="shared" si="2"/>
        <v>0</v>
      </c>
      <c r="G156"/>
    </row>
    <row r="157" spans="1:7">
      <c r="A157" s="7" t="s">
        <v>485</v>
      </c>
      <c r="B157">
        <v>43</v>
      </c>
      <c r="C157" t="s">
        <v>503</v>
      </c>
      <c r="D157">
        <v>2024</v>
      </c>
      <c r="E157">
        <v>9</v>
      </c>
      <c r="F157" s="74" t="str">
        <f t="shared" si="2"/>
        <v>0</v>
      </c>
      <c r="G157"/>
    </row>
    <row r="158" spans="1:7">
      <c r="A158" s="7" t="s">
        <v>486</v>
      </c>
      <c r="B158">
        <v>44</v>
      </c>
      <c r="C158" t="s">
        <v>503</v>
      </c>
      <c r="D158">
        <v>2024</v>
      </c>
      <c r="E158">
        <v>9</v>
      </c>
      <c r="F158" s="74" t="str">
        <f t="shared" si="2"/>
        <v>0</v>
      </c>
      <c r="G158"/>
    </row>
    <row r="159" spans="1:7">
      <c r="A159" s="7" t="s">
        <v>487</v>
      </c>
      <c r="B159">
        <v>45</v>
      </c>
      <c r="C159" t="s">
        <v>503</v>
      </c>
      <c r="D159">
        <v>2024</v>
      </c>
      <c r="E159">
        <v>9</v>
      </c>
      <c r="F159" s="74" t="str">
        <f t="shared" si="2"/>
        <v>0</v>
      </c>
      <c r="G159"/>
    </row>
    <row r="160" spans="1:7">
      <c r="A160" s="7" t="s">
        <v>489</v>
      </c>
      <c r="B160">
        <v>46</v>
      </c>
      <c r="C160" t="s">
        <v>503</v>
      </c>
      <c r="D160">
        <v>2024</v>
      </c>
      <c r="E160">
        <v>9</v>
      </c>
      <c r="F160" s="74" t="str">
        <f t="shared" si="2"/>
        <v>0</v>
      </c>
      <c r="G160"/>
    </row>
    <row r="161" spans="1:7">
      <c r="A161" s="7" t="s">
        <v>491</v>
      </c>
      <c r="B161">
        <v>47</v>
      </c>
      <c r="C161" t="s">
        <v>503</v>
      </c>
      <c r="D161">
        <v>2024</v>
      </c>
      <c r="E161">
        <v>9</v>
      </c>
      <c r="F161" s="74" t="str">
        <f t="shared" si="2"/>
        <v>0</v>
      </c>
      <c r="G161"/>
    </row>
    <row r="162" spans="1:7">
      <c r="A162" s="7" t="s">
        <v>492</v>
      </c>
      <c r="B162">
        <v>48</v>
      </c>
      <c r="C162" t="s">
        <v>503</v>
      </c>
      <c r="D162">
        <v>2024</v>
      </c>
      <c r="E162">
        <v>9</v>
      </c>
      <c r="F162" s="74" t="str">
        <f t="shared" si="2"/>
        <v>0</v>
      </c>
      <c r="G162"/>
    </row>
    <row r="163" spans="1:7">
      <c r="A163" s="7" t="s">
        <v>493</v>
      </c>
      <c r="B163">
        <v>49</v>
      </c>
      <c r="C163" t="s">
        <v>503</v>
      </c>
      <c r="D163">
        <v>2024</v>
      </c>
      <c r="E163">
        <v>9</v>
      </c>
      <c r="F163" s="74" t="str">
        <f t="shared" si="2"/>
        <v>0</v>
      </c>
      <c r="G163"/>
    </row>
    <row r="164" spans="1:7">
      <c r="A164" s="7" t="s">
        <v>494</v>
      </c>
      <c r="B164">
        <v>50</v>
      </c>
      <c r="C164" t="s">
        <v>503</v>
      </c>
      <c r="D164">
        <v>2024</v>
      </c>
      <c r="E164">
        <v>9</v>
      </c>
      <c r="F164" s="74" t="str">
        <f t="shared" si="2"/>
        <v>0</v>
      </c>
      <c r="G164"/>
    </row>
    <row r="165" spans="1:7">
      <c r="A165" s="7" t="s">
        <v>495</v>
      </c>
      <c r="B165">
        <v>51</v>
      </c>
      <c r="C165" t="s">
        <v>503</v>
      </c>
      <c r="D165">
        <v>2024</v>
      </c>
      <c r="E165">
        <v>9</v>
      </c>
      <c r="F165" s="74" t="str">
        <f t="shared" si="2"/>
        <v>0</v>
      </c>
      <c r="G165"/>
    </row>
    <row r="166" spans="1:7">
      <c r="A166" s="7" t="s">
        <v>496</v>
      </c>
      <c r="B166">
        <v>52</v>
      </c>
      <c r="C166" t="s">
        <v>503</v>
      </c>
      <c r="D166">
        <v>2024</v>
      </c>
      <c r="E166">
        <v>9</v>
      </c>
      <c r="F166" s="74" t="str">
        <f t="shared" si="2"/>
        <v>0</v>
      </c>
      <c r="G166"/>
    </row>
    <row r="167" spans="1:7">
      <c r="A167" s="7" t="s">
        <v>497</v>
      </c>
      <c r="B167">
        <v>53</v>
      </c>
      <c r="C167" t="s">
        <v>503</v>
      </c>
      <c r="D167">
        <v>2024</v>
      </c>
      <c r="E167">
        <v>9</v>
      </c>
      <c r="F167" s="74" t="str">
        <f t="shared" si="2"/>
        <v>0</v>
      </c>
      <c r="G167"/>
    </row>
    <row r="168" spans="1:7" ht="15" thickBot="1">
      <c r="A168" s="73" t="s">
        <v>498</v>
      </c>
      <c r="B168">
        <v>54</v>
      </c>
      <c r="C168" t="s">
        <v>503</v>
      </c>
      <c r="D168">
        <v>2024</v>
      </c>
      <c r="E168">
        <v>9</v>
      </c>
      <c r="F168" s="74" t="str">
        <f t="shared" si="2"/>
        <v>0</v>
      </c>
      <c r="G168"/>
    </row>
    <row r="169" spans="1:7">
      <c r="A169" s="72" t="s">
        <v>435</v>
      </c>
      <c r="B169">
        <v>1</v>
      </c>
      <c r="C169" t="s">
        <v>511</v>
      </c>
      <c r="D169">
        <v>2024</v>
      </c>
      <c r="E169">
        <v>9</v>
      </c>
      <c r="F169" s="74" t="str">
        <f>"29"</f>
        <v>29</v>
      </c>
      <c r="G169"/>
    </row>
    <row r="170" spans="1:7">
      <c r="A170" s="72" t="s">
        <v>438</v>
      </c>
      <c r="B170">
        <v>2</v>
      </c>
      <c r="C170" t="s">
        <v>511</v>
      </c>
      <c r="D170">
        <v>2024</v>
      </c>
      <c r="E170">
        <v>9</v>
      </c>
      <c r="F170" s="74" t="str">
        <f>"26"</f>
        <v>26</v>
      </c>
      <c r="G170"/>
    </row>
    <row r="171" spans="1:7">
      <c r="A171" s="72" t="s">
        <v>439</v>
      </c>
      <c r="B171">
        <v>3</v>
      </c>
      <c r="C171" t="s">
        <v>511</v>
      </c>
      <c r="D171">
        <v>2024</v>
      </c>
      <c r="E171">
        <v>9</v>
      </c>
      <c r="F171" s="75" t="str">
        <f>"94.58"</f>
        <v>94.58</v>
      </c>
      <c r="G171"/>
    </row>
    <row r="172" spans="1:7">
      <c r="A172" s="72" t="s">
        <v>440</v>
      </c>
      <c r="B172">
        <v>4</v>
      </c>
      <c r="C172" t="s">
        <v>511</v>
      </c>
      <c r="D172">
        <v>2024</v>
      </c>
      <c r="E172">
        <v>9</v>
      </c>
      <c r="F172" s="74" t="str">
        <f>"3"</f>
        <v>3</v>
      </c>
      <c r="G172"/>
    </row>
    <row r="173" spans="1:7">
      <c r="A173" s="72" t="s">
        <v>441</v>
      </c>
      <c r="B173">
        <v>5</v>
      </c>
      <c r="C173" t="s">
        <v>511</v>
      </c>
      <c r="D173">
        <v>2024</v>
      </c>
      <c r="E173">
        <v>9</v>
      </c>
      <c r="F173" s="75" t="str">
        <f>"0.1"</f>
        <v>0.1</v>
      </c>
      <c r="G173"/>
    </row>
    <row r="174" spans="1:7">
      <c r="A174" s="72" t="s">
        <v>442</v>
      </c>
      <c r="B174">
        <v>6</v>
      </c>
      <c r="C174" t="s">
        <v>511</v>
      </c>
      <c r="D174">
        <v>2024</v>
      </c>
      <c r="E174">
        <v>9</v>
      </c>
      <c r="F174" s="74" t="str">
        <f>"115"</f>
        <v>115</v>
      </c>
      <c r="G174"/>
    </row>
    <row r="175" spans="1:7">
      <c r="A175" s="72" t="s">
        <v>443</v>
      </c>
      <c r="B175">
        <v>7</v>
      </c>
      <c r="C175" t="s">
        <v>511</v>
      </c>
      <c r="D175">
        <v>2024</v>
      </c>
      <c r="E175">
        <v>9</v>
      </c>
      <c r="F175" s="75" t="str">
        <f>"2.48"</f>
        <v>2.48</v>
      </c>
      <c r="G175"/>
    </row>
    <row r="176" spans="1:7">
      <c r="A176" s="72" t="s">
        <v>444</v>
      </c>
      <c r="B176">
        <v>8</v>
      </c>
      <c r="C176" t="s">
        <v>511</v>
      </c>
      <c r="D176">
        <v>2024</v>
      </c>
      <c r="E176">
        <v>9</v>
      </c>
      <c r="F176" s="74" t="str">
        <f>"30"</f>
        <v>30</v>
      </c>
      <c r="G176"/>
    </row>
    <row r="177" spans="1:7">
      <c r="A177" s="72" t="s">
        <v>445</v>
      </c>
      <c r="B177">
        <v>9</v>
      </c>
      <c r="C177" t="s">
        <v>511</v>
      </c>
      <c r="D177">
        <v>2024</v>
      </c>
      <c r="E177">
        <v>9</v>
      </c>
      <c r="F177" s="75" t="str">
        <f>"1.85"</f>
        <v>1.85</v>
      </c>
      <c r="G177"/>
    </row>
    <row r="178" spans="1:7">
      <c r="A178" s="72" t="s">
        <v>446</v>
      </c>
      <c r="B178">
        <v>10</v>
      </c>
      <c r="C178" t="s">
        <v>511</v>
      </c>
      <c r="D178">
        <v>2024</v>
      </c>
      <c r="E178">
        <v>9</v>
      </c>
      <c r="F178" s="74" t="str">
        <f>"9"</f>
        <v>9</v>
      </c>
      <c r="G178"/>
    </row>
    <row r="179" spans="1:7">
      <c r="A179" s="72" t="s">
        <v>447</v>
      </c>
      <c r="B179">
        <v>11</v>
      </c>
      <c r="C179" t="s">
        <v>511</v>
      </c>
      <c r="D179">
        <v>2024</v>
      </c>
      <c r="E179">
        <v>9</v>
      </c>
      <c r="F179" s="74" t="str">
        <f>"3"</f>
        <v>3</v>
      </c>
      <c r="G179"/>
    </row>
    <row r="180" spans="1:7">
      <c r="A180" s="72" t="s">
        <v>448</v>
      </c>
      <c r="B180">
        <v>12</v>
      </c>
      <c r="C180" t="s">
        <v>511</v>
      </c>
      <c r="D180">
        <v>2024</v>
      </c>
      <c r="E180">
        <v>9</v>
      </c>
      <c r="F180" s="74" t="str">
        <f>"14"</f>
        <v>14</v>
      </c>
      <c r="G180"/>
    </row>
    <row r="181" spans="1:7">
      <c r="A181" s="72" t="s">
        <v>449</v>
      </c>
      <c r="B181">
        <v>13</v>
      </c>
      <c r="C181" t="s">
        <v>511</v>
      </c>
      <c r="D181">
        <v>2024</v>
      </c>
      <c r="E181">
        <v>9</v>
      </c>
      <c r="F181" s="74" t="str">
        <f>"74"</f>
        <v>74</v>
      </c>
      <c r="G181"/>
    </row>
    <row r="182" spans="1:7">
      <c r="A182" s="72" t="s">
        <v>450</v>
      </c>
      <c r="B182">
        <v>14</v>
      </c>
      <c r="C182" t="s">
        <v>511</v>
      </c>
      <c r="D182">
        <v>2024</v>
      </c>
      <c r="E182">
        <v>9</v>
      </c>
      <c r="F182" s="74" t="str">
        <f>"10"</f>
        <v>10</v>
      </c>
      <c r="G182"/>
    </row>
    <row r="183" spans="1:7">
      <c r="A183" s="72" t="s">
        <v>451</v>
      </c>
      <c r="B183">
        <v>15</v>
      </c>
      <c r="C183" t="s">
        <v>511</v>
      </c>
      <c r="D183">
        <v>2024</v>
      </c>
      <c r="E183">
        <v>9</v>
      </c>
      <c r="F183" s="74" t="str">
        <f>"43"</f>
        <v>43</v>
      </c>
      <c r="G183"/>
    </row>
    <row r="184" spans="1:7">
      <c r="A184" s="72" t="s">
        <v>452</v>
      </c>
      <c r="B184">
        <v>16</v>
      </c>
      <c r="C184" t="s">
        <v>511</v>
      </c>
      <c r="D184">
        <v>2024</v>
      </c>
      <c r="E184">
        <v>9</v>
      </c>
      <c r="F184" s="74" t="str">
        <f>"0"</f>
        <v>0</v>
      </c>
      <c r="G184"/>
    </row>
    <row r="185" spans="1:7">
      <c r="A185" s="72" t="s">
        <v>453</v>
      </c>
      <c r="B185">
        <v>17</v>
      </c>
      <c r="C185" t="s">
        <v>511</v>
      </c>
      <c r="D185">
        <v>2024</v>
      </c>
      <c r="E185">
        <v>9</v>
      </c>
      <c r="F185" s="74" t="str">
        <f>"461"</f>
        <v>461</v>
      </c>
      <c r="G185"/>
    </row>
    <row r="186" spans="1:7">
      <c r="A186" s="72" t="s">
        <v>10</v>
      </c>
      <c r="B186">
        <v>18</v>
      </c>
      <c r="C186" t="s">
        <v>511</v>
      </c>
      <c r="D186">
        <v>2024</v>
      </c>
      <c r="E186">
        <v>9</v>
      </c>
      <c r="F186" s="74" t="str">
        <f>"202"</f>
        <v>202</v>
      </c>
      <c r="G186"/>
    </row>
    <row r="187" spans="1:7">
      <c r="A187" s="72" t="s">
        <v>454</v>
      </c>
      <c r="B187">
        <v>19</v>
      </c>
      <c r="C187" t="s">
        <v>511</v>
      </c>
      <c r="D187">
        <v>2024</v>
      </c>
      <c r="E187">
        <v>9</v>
      </c>
      <c r="F187" s="74" t="str">
        <f>"51"</f>
        <v>51</v>
      </c>
      <c r="G187"/>
    </row>
    <row r="188" spans="1:7">
      <c r="A188" s="72" t="s">
        <v>455</v>
      </c>
      <c r="B188">
        <v>20</v>
      </c>
      <c r="C188" t="s">
        <v>511</v>
      </c>
      <c r="D188">
        <v>2024</v>
      </c>
      <c r="E188">
        <v>9</v>
      </c>
      <c r="F188" s="74" t="str">
        <f>"85"</f>
        <v>85</v>
      </c>
      <c r="G188"/>
    </row>
    <row r="189" spans="1:7">
      <c r="A189" s="72" t="s">
        <v>456</v>
      </c>
      <c r="B189">
        <v>21</v>
      </c>
      <c r="C189" t="s">
        <v>511</v>
      </c>
      <c r="D189">
        <v>2024</v>
      </c>
      <c r="E189">
        <v>9</v>
      </c>
      <c r="F189" s="74" t="str">
        <f>"66"</f>
        <v>66</v>
      </c>
      <c r="G189"/>
    </row>
    <row r="190" spans="1:7">
      <c r="A190" s="72" t="s">
        <v>457</v>
      </c>
      <c r="B190">
        <v>22</v>
      </c>
      <c r="C190" t="s">
        <v>511</v>
      </c>
      <c r="D190">
        <v>2024</v>
      </c>
      <c r="E190">
        <v>9</v>
      </c>
      <c r="F190" s="75" t="str">
        <f>"0.252475"</f>
        <v>0.252475</v>
      </c>
      <c r="G190"/>
    </row>
    <row r="191" spans="1:7">
      <c r="A191" s="72" t="s">
        <v>458</v>
      </c>
      <c r="B191">
        <v>23</v>
      </c>
      <c r="C191" t="s">
        <v>511</v>
      </c>
      <c r="D191">
        <v>2024</v>
      </c>
      <c r="E191">
        <v>9</v>
      </c>
      <c r="F191" s="75" t="str">
        <f>"0.420792"</f>
        <v>0.420792</v>
      </c>
      <c r="G191"/>
    </row>
    <row r="192" spans="1:7">
      <c r="A192" s="72" t="s">
        <v>459</v>
      </c>
      <c r="B192">
        <v>24</v>
      </c>
      <c r="C192" t="s">
        <v>511</v>
      </c>
      <c r="D192">
        <v>2024</v>
      </c>
      <c r="E192">
        <v>9</v>
      </c>
      <c r="F192" s="75" t="str">
        <f>"0.326733"</f>
        <v>0.326733</v>
      </c>
      <c r="G192"/>
    </row>
    <row r="193" spans="1:7">
      <c r="A193" s="72" t="s">
        <v>460</v>
      </c>
      <c r="B193">
        <v>25</v>
      </c>
      <c r="C193" t="s">
        <v>511</v>
      </c>
      <c r="D193">
        <v>2024</v>
      </c>
      <c r="E193">
        <v>9</v>
      </c>
      <c r="F193" s="74" t="str">
        <f>"31"</f>
        <v>31</v>
      </c>
      <c r="G193" t="s">
        <v>504</v>
      </c>
    </row>
    <row r="194" spans="1:7">
      <c r="A194" s="72" t="s">
        <v>462</v>
      </c>
      <c r="B194">
        <v>26</v>
      </c>
      <c r="C194" t="s">
        <v>511</v>
      </c>
      <c r="D194">
        <v>2024</v>
      </c>
      <c r="E194">
        <v>9</v>
      </c>
      <c r="F194" s="74" t="str">
        <f>"30"</f>
        <v>30</v>
      </c>
      <c r="G194" t="s">
        <v>461</v>
      </c>
    </row>
    <row r="195" spans="1:7">
      <c r="A195" s="72" t="s">
        <v>464</v>
      </c>
      <c r="B195">
        <v>27</v>
      </c>
      <c r="C195" t="s">
        <v>511</v>
      </c>
      <c r="D195">
        <v>2024</v>
      </c>
      <c r="E195">
        <v>9</v>
      </c>
      <c r="F195" s="74" t="str">
        <f>"16"</f>
        <v>16</v>
      </c>
      <c r="G195" t="s">
        <v>463</v>
      </c>
    </row>
    <row r="196" spans="1:7">
      <c r="A196" s="72" t="s">
        <v>466</v>
      </c>
      <c r="B196">
        <v>28</v>
      </c>
      <c r="C196" t="s">
        <v>511</v>
      </c>
      <c r="D196">
        <v>2024</v>
      </c>
      <c r="E196">
        <v>9</v>
      </c>
      <c r="F196" s="74" t="str">
        <f>"78"</f>
        <v>78</v>
      </c>
      <c r="G196"/>
    </row>
    <row r="197" spans="1:7">
      <c r="A197" s="72" t="s">
        <v>467</v>
      </c>
      <c r="B197">
        <v>29</v>
      </c>
      <c r="C197" t="s">
        <v>511</v>
      </c>
      <c r="D197">
        <v>2024</v>
      </c>
      <c r="E197">
        <v>9</v>
      </c>
      <c r="F197" s="75" t="str">
        <f>"0.84"</f>
        <v>0.84</v>
      </c>
      <c r="G197"/>
    </row>
    <row r="198" spans="1:7">
      <c r="A198" s="72" t="s">
        <v>468</v>
      </c>
      <c r="B198">
        <v>30</v>
      </c>
      <c r="C198" t="s">
        <v>511</v>
      </c>
      <c r="D198">
        <v>2024</v>
      </c>
      <c r="E198">
        <v>9</v>
      </c>
      <c r="F198" s="74" t="str">
        <f t="shared" ref="F198:F222" si="3">"0"</f>
        <v>0</v>
      </c>
      <c r="G198"/>
    </row>
    <row r="199" spans="1:7">
      <c r="A199" s="72" t="s">
        <v>469</v>
      </c>
      <c r="B199">
        <v>31</v>
      </c>
      <c r="C199" t="s">
        <v>511</v>
      </c>
      <c r="D199">
        <v>2024</v>
      </c>
      <c r="E199">
        <v>9</v>
      </c>
      <c r="F199" s="74" t="str">
        <f t="shared" si="3"/>
        <v>0</v>
      </c>
      <c r="G199"/>
    </row>
    <row r="200" spans="1:7">
      <c r="A200" s="7" t="s">
        <v>470</v>
      </c>
      <c r="B200">
        <v>32</v>
      </c>
      <c r="C200" t="s">
        <v>511</v>
      </c>
      <c r="D200">
        <v>2024</v>
      </c>
      <c r="E200">
        <v>9</v>
      </c>
      <c r="F200" s="74" t="str">
        <f t="shared" si="3"/>
        <v>0</v>
      </c>
      <c r="G200"/>
    </row>
    <row r="201" spans="1:7">
      <c r="A201" s="7" t="s">
        <v>471</v>
      </c>
      <c r="B201">
        <v>33</v>
      </c>
      <c r="C201" t="s">
        <v>511</v>
      </c>
      <c r="D201">
        <v>2024</v>
      </c>
      <c r="E201">
        <v>9</v>
      </c>
      <c r="F201" s="74" t="str">
        <f t="shared" si="3"/>
        <v>0</v>
      </c>
      <c r="G201"/>
    </row>
    <row r="202" spans="1:7">
      <c r="A202" s="7" t="s">
        <v>473</v>
      </c>
      <c r="B202">
        <v>34</v>
      </c>
      <c r="C202" t="s">
        <v>511</v>
      </c>
      <c r="D202">
        <v>2024</v>
      </c>
      <c r="E202">
        <v>9</v>
      </c>
      <c r="F202" s="74" t="str">
        <f t="shared" si="3"/>
        <v>0</v>
      </c>
      <c r="G202"/>
    </row>
    <row r="203" spans="1:7">
      <c r="A203" s="7" t="s">
        <v>475</v>
      </c>
      <c r="B203">
        <v>35</v>
      </c>
      <c r="C203" t="s">
        <v>511</v>
      </c>
      <c r="D203">
        <v>2024</v>
      </c>
      <c r="E203">
        <v>9</v>
      </c>
      <c r="F203" s="74" t="str">
        <f t="shared" si="3"/>
        <v>0</v>
      </c>
      <c r="G203"/>
    </row>
    <row r="204" spans="1:7">
      <c r="A204" s="7" t="s">
        <v>477</v>
      </c>
      <c r="B204">
        <v>36</v>
      </c>
      <c r="C204" t="s">
        <v>511</v>
      </c>
      <c r="D204">
        <v>2024</v>
      </c>
      <c r="E204">
        <v>9</v>
      </c>
      <c r="F204" s="74" t="str">
        <f t="shared" si="3"/>
        <v>0</v>
      </c>
      <c r="G204"/>
    </row>
    <row r="205" spans="1:7">
      <c r="A205" s="7" t="s">
        <v>479</v>
      </c>
      <c r="B205">
        <v>37</v>
      </c>
      <c r="C205" t="s">
        <v>511</v>
      </c>
      <c r="D205">
        <v>2024</v>
      </c>
      <c r="E205">
        <v>9</v>
      </c>
      <c r="F205" s="74" t="str">
        <f t="shared" si="3"/>
        <v>0</v>
      </c>
      <c r="G205"/>
    </row>
    <row r="206" spans="1:7">
      <c r="A206" s="7" t="s">
        <v>480</v>
      </c>
      <c r="B206">
        <v>38</v>
      </c>
      <c r="C206" t="s">
        <v>511</v>
      </c>
      <c r="D206">
        <v>2024</v>
      </c>
      <c r="E206">
        <v>9</v>
      </c>
      <c r="F206" s="74" t="str">
        <f t="shared" si="3"/>
        <v>0</v>
      </c>
      <c r="G206"/>
    </row>
    <row r="207" spans="1:7">
      <c r="A207" s="7" t="s">
        <v>481</v>
      </c>
      <c r="B207">
        <v>39</v>
      </c>
      <c r="C207" t="s">
        <v>511</v>
      </c>
      <c r="D207">
        <v>2024</v>
      </c>
      <c r="E207">
        <v>9</v>
      </c>
      <c r="F207" s="74" t="str">
        <f t="shared" si="3"/>
        <v>0</v>
      </c>
      <c r="G207"/>
    </row>
    <row r="208" spans="1:7">
      <c r="A208" s="7" t="s">
        <v>482</v>
      </c>
      <c r="B208">
        <v>40</v>
      </c>
      <c r="C208" t="s">
        <v>511</v>
      </c>
      <c r="D208">
        <v>2024</v>
      </c>
      <c r="E208">
        <v>9</v>
      </c>
      <c r="F208" s="74" t="str">
        <f t="shared" si="3"/>
        <v>0</v>
      </c>
      <c r="G208"/>
    </row>
    <row r="209" spans="1:7">
      <c r="A209" s="7" t="s">
        <v>483</v>
      </c>
      <c r="B209">
        <v>41</v>
      </c>
      <c r="C209" t="s">
        <v>511</v>
      </c>
      <c r="D209">
        <v>2024</v>
      </c>
      <c r="E209">
        <v>9</v>
      </c>
      <c r="F209" s="74" t="str">
        <f t="shared" si="3"/>
        <v>0</v>
      </c>
      <c r="G209"/>
    </row>
    <row r="210" spans="1:7">
      <c r="A210" s="7" t="s">
        <v>484</v>
      </c>
      <c r="B210">
        <v>42</v>
      </c>
      <c r="C210" t="s">
        <v>511</v>
      </c>
      <c r="D210">
        <v>2024</v>
      </c>
      <c r="E210">
        <v>9</v>
      </c>
      <c r="F210" s="74" t="str">
        <f t="shared" si="3"/>
        <v>0</v>
      </c>
      <c r="G210"/>
    </row>
    <row r="211" spans="1:7">
      <c r="A211" s="7" t="s">
        <v>485</v>
      </c>
      <c r="B211">
        <v>43</v>
      </c>
      <c r="C211" t="s">
        <v>511</v>
      </c>
      <c r="D211">
        <v>2024</v>
      </c>
      <c r="E211">
        <v>9</v>
      </c>
      <c r="F211" s="74" t="str">
        <f t="shared" si="3"/>
        <v>0</v>
      </c>
      <c r="G211"/>
    </row>
    <row r="212" spans="1:7">
      <c r="A212" s="7" t="s">
        <v>486</v>
      </c>
      <c r="B212">
        <v>44</v>
      </c>
      <c r="C212" t="s">
        <v>511</v>
      </c>
      <c r="D212">
        <v>2024</v>
      </c>
      <c r="E212">
        <v>9</v>
      </c>
      <c r="F212" s="74" t="str">
        <f t="shared" si="3"/>
        <v>0</v>
      </c>
      <c r="G212"/>
    </row>
    <row r="213" spans="1:7">
      <c r="A213" s="7" t="s">
        <v>487</v>
      </c>
      <c r="B213">
        <v>45</v>
      </c>
      <c r="C213" t="s">
        <v>511</v>
      </c>
      <c r="D213">
        <v>2024</v>
      </c>
      <c r="E213">
        <v>9</v>
      </c>
      <c r="F213" s="74" t="str">
        <f t="shared" si="3"/>
        <v>0</v>
      </c>
      <c r="G213"/>
    </row>
    <row r="214" spans="1:7">
      <c r="A214" s="7" t="s">
        <v>489</v>
      </c>
      <c r="B214">
        <v>46</v>
      </c>
      <c r="C214" t="s">
        <v>511</v>
      </c>
      <c r="D214">
        <v>2024</v>
      </c>
      <c r="E214">
        <v>9</v>
      </c>
      <c r="F214" s="74" t="str">
        <f t="shared" si="3"/>
        <v>0</v>
      </c>
      <c r="G214"/>
    </row>
    <row r="215" spans="1:7">
      <c r="A215" s="7" t="s">
        <v>491</v>
      </c>
      <c r="B215">
        <v>47</v>
      </c>
      <c r="C215" t="s">
        <v>511</v>
      </c>
      <c r="D215">
        <v>2024</v>
      </c>
      <c r="E215">
        <v>9</v>
      </c>
      <c r="F215" s="74" t="str">
        <f t="shared" si="3"/>
        <v>0</v>
      </c>
      <c r="G215"/>
    </row>
    <row r="216" spans="1:7">
      <c r="A216" s="7" t="s">
        <v>492</v>
      </c>
      <c r="B216">
        <v>48</v>
      </c>
      <c r="C216" t="s">
        <v>511</v>
      </c>
      <c r="D216">
        <v>2024</v>
      </c>
      <c r="E216">
        <v>9</v>
      </c>
      <c r="F216" s="74" t="str">
        <f t="shared" si="3"/>
        <v>0</v>
      </c>
      <c r="G216"/>
    </row>
    <row r="217" spans="1:7">
      <c r="A217" s="7" t="s">
        <v>493</v>
      </c>
      <c r="B217">
        <v>49</v>
      </c>
      <c r="C217" t="s">
        <v>511</v>
      </c>
      <c r="D217">
        <v>2024</v>
      </c>
      <c r="E217">
        <v>9</v>
      </c>
      <c r="F217" s="74" t="str">
        <f t="shared" si="3"/>
        <v>0</v>
      </c>
      <c r="G217"/>
    </row>
    <row r="218" spans="1:7">
      <c r="A218" s="7" t="s">
        <v>494</v>
      </c>
      <c r="B218">
        <v>50</v>
      </c>
      <c r="C218" t="s">
        <v>511</v>
      </c>
      <c r="D218">
        <v>2024</v>
      </c>
      <c r="E218">
        <v>9</v>
      </c>
      <c r="F218" s="74" t="str">
        <f t="shared" si="3"/>
        <v>0</v>
      </c>
      <c r="G218"/>
    </row>
    <row r="219" spans="1:7">
      <c r="A219" s="7" t="s">
        <v>495</v>
      </c>
      <c r="B219">
        <v>51</v>
      </c>
      <c r="C219" t="s">
        <v>511</v>
      </c>
      <c r="D219">
        <v>2024</v>
      </c>
      <c r="E219">
        <v>9</v>
      </c>
      <c r="F219" s="74" t="str">
        <f t="shared" si="3"/>
        <v>0</v>
      </c>
      <c r="G219"/>
    </row>
    <row r="220" spans="1:7">
      <c r="A220" s="7" t="s">
        <v>496</v>
      </c>
      <c r="B220">
        <v>52</v>
      </c>
      <c r="C220" t="s">
        <v>511</v>
      </c>
      <c r="D220">
        <v>2024</v>
      </c>
      <c r="E220">
        <v>9</v>
      </c>
      <c r="F220" s="74" t="str">
        <f t="shared" si="3"/>
        <v>0</v>
      </c>
      <c r="G220"/>
    </row>
    <row r="221" spans="1:7">
      <c r="A221" s="7" t="s">
        <v>497</v>
      </c>
      <c r="B221">
        <v>53</v>
      </c>
      <c r="C221" t="s">
        <v>511</v>
      </c>
      <c r="D221">
        <v>2024</v>
      </c>
      <c r="E221">
        <v>9</v>
      </c>
      <c r="F221" s="74" t="str">
        <f t="shared" si="3"/>
        <v>0</v>
      </c>
      <c r="G221"/>
    </row>
    <row r="222" spans="1:7" ht="15" thickBot="1">
      <c r="A222" s="73" t="s">
        <v>498</v>
      </c>
      <c r="B222">
        <v>54</v>
      </c>
      <c r="C222" t="s">
        <v>511</v>
      </c>
      <c r="D222">
        <v>2024</v>
      </c>
      <c r="E222">
        <v>9</v>
      </c>
      <c r="F222" s="74" t="str">
        <f t="shared" si="3"/>
        <v>0</v>
      </c>
      <c r="G222"/>
    </row>
    <row r="223" spans="1:7">
      <c r="A223" s="72" t="s">
        <v>435</v>
      </c>
      <c r="B223">
        <v>1</v>
      </c>
      <c r="C223" t="s">
        <v>512</v>
      </c>
      <c r="D223">
        <v>2024</v>
      </c>
      <c r="E223">
        <v>9</v>
      </c>
      <c r="F223" s="74" t="str">
        <f>"47"</f>
        <v>47</v>
      </c>
      <c r="G223"/>
    </row>
    <row r="224" spans="1:7">
      <c r="A224" s="72" t="s">
        <v>438</v>
      </c>
      <c r="B224">
        <v>2</v>
      </c>
      <c r="C224" t="s">
        <v>512</v>
      </c>
      <c r="D224">
        <v>2024</v>
      </c>
      <c r="E224">
        <v>9</v>
      </c>
      <c r="F224" s="74" t="str">
        <f>"47"</f>
        <v>47</v>
      </c>
      <c r="G224"/>
    </row>
    <row r="225" spans="1:7">
      <c r="A225" s="72" t="s">
        <v>439</v>
      </c>
      <c r="B225">
        <v>3</v>
      </c>
      <c r="C225" t="s">
        <v>512</v>
      </c>
      <c r="D225">
        <v>2024</v>
      </c>
      <c r="E225">
        <v>9</v>
      </c>
      <c r="F225" s="75" t="str">
        <f>"97.33"</f>
        <v>97.33</v>
      </c>
      <c r="G225"/>
    </row>
    <row r="226" spans="1:7">
      <c r="A226" s="72" t="s">
        <v>440</v>
      </c>
      <c r="B226">
        <v>4</v>
      </c>
      <c r="C226" t="s">
        <v>512</v>
      </c>
      <c r="D226">
        <v>2024</v>
      </c>
      <c r="E226">
        <v>9</v>
      </c>
      <c r="F226" s="74" t="str">
        <f>"0"</f>
        <v>0</v>
      </c>
      <c r="G226"/>
    </row>
    <row r="227" spans="1:7">
      <c r="A227" s="72" t="s">
        <v>441</v>
      </c>
      <c r="B227">
        <v>5</v>
      </c>
      <c r="C227" t="s">
        <v>512</v>
      </c>
      <c r="D227">
        <v>2024</v>
      </c>
      <c r="E227">
        <v>9</v>
      </c>
      <c r="F227" s="74" t="str">
        <f>"0"</f>
        <v>0</v>
      </c>
      <c r="G227"/>
    </row>
    <row r="228" spans="1:7">
      <c r="A228" s="72" t="s">
        <v>442</v>
      </c>
      <c r="B228">
        <v>6</v>
      </c>
      <c r="C228" t="s">
        <v>512</v>
      </c>
      <c r="D228">
        <v>2024</v>
      </c>
      <c r="E228">
        <v>9</v>
      </c>
      <c r="F228" s="74" t="str">
        <f>"152"</f>
        <v>152</v>
      </c>
      <c r="G228"/>
    </row>
    <row r="229" spans="1:7">
      <c r="A229" s="72" t="s">
        <v>443</v>
      </c>
      <c r="B229">
        <v>7</v>
      </c>
      <c r="C229" t="s">
        <v>512</v>
      </c>
      <c r="D229">
        <v>2024</v>
      </c>
      <c r="E229">
        <v>9</v>
      </c>
      <c r="F229" s="75" t="str">
        <f>"2.66"</f>
        <v>2.66</v>
      </c>
      <c r="G229"/>
    </row>
    <row r="230" spans="1:7">
      <c r="A230" s="72" t="s">
        <v>444</v>
      </c>
      <c r="B230">
        <v>8</v>
      </c>
      <c r="C230" t="s">
        <v>512</v>
      </c>
      <c r="D230">
        <v>2024</v>
      </c>
      <c r="E230">
        <v>9</v>
      </c>
      <c r="F230" s="74" t="str">
        <f>"0"</f>
        <v>0</v>
      </c>
      <c r="G230"/>
    </row>
    <row r="231" spans="1:7">
      <c r="A231" s="72" t="s">
        <v>445</v>
      </c>
      <c r="B231">
        <v>9</v>
      </c>
      <c r="C231" t="s">
        <v>512</v>
      </c>
      <c r="D231">
        <v>2024</v>
      </c>
      <c r="E231">
        <v>9</v>
      </c>
      <c r="F231" s="74" t="str">
        <f>"0"</f>
        <v>0</v>
      </c>
      <c r="G231"/>
    </row>
    <row r="232" spans="1:7">
      <c r="A232" s="72" t="s">
        <v>446</v>
      </c>
      <c r="B232">
        <v>10</v>
      </c>
      <c r="C232" t="s">
        <v>512</v>
      </c>
      <c r="D232">
        <v>2024</v>
      </c>
      <c r="E232">
        <v>9</v>
      </c>
      <c r="F232" s="74" t="str">
        <f>"0"</f>
        <v>0</v>
      </c>
      <c r="G232"/>
    </row>
    <row r="233" spans="1:7">
      <c r="A233" s="72" t="s">
        <v>447</v>
      </c>
      <c r="B233">
        <v>11</v>
      </c>
      <c r="C233" t="s">
        <v>512</v>
      </c>
      <c r="D233">
        <v>2024</v>
      </c>
      <c r="E233">
        <v>9</v>
      </c>
      <c r="F233" s="74" t="str">
        <f>"0"</f>
        <v>0</v>
      </c>
      <c r="G233"/>
    </row>
    <row r="234" spans="1:7">
      <c r="A234" s="72" t="s">
        <v>448</v>
      </c>
      <c r="B234">
        <v>12</v>
      </c>
      <c r="C234" t="s">
        <v>512</v>
      </c>
      <c r="D234">
        <v>2024</v>
      </c>
      <c r="E234">
        <v>9</v>
      </c>
      <c r="F234" s="74" t="str">
        <f>"0"</f>
        <v>0</v>
      </c>
      <c r="G234"/>
    </row>
    <row r="235" spans="1:7">
      <c r="A235" s="72" t="s">
        <v>449</v>
      </c>
      <c r="B235">
        <v>13</v>
      </c>
      <c r="C235" t="s">
        <v>512</v>
      </c>
      <c r="D235">
        <v>2024</v>
      </c>
      <c r="E235">
        <v>9</v>
      </c>
      <c r="F235" s="74" t="str">
        <f>"89"</f>
        <v>89</v>
      </c>
      <c r="G235"/>
    </row>
    <row r="236" spans="1:7">
      <c r="A236" s="72" t="s">
        <v>450</v>
      </c>
      <c r="B236">
        <v>14</v>
      </c>
      <c r="C236" t="s">
        <v>512</v>
      </c>
      <c r="D236">
        <v>2024</v>
      </c>
      <c r="E236">
        <v>9</v>
      </c>
      <c r="F236" s="74" t="str">
        <f>"23"</f>
        <v>23</v>
      </c>
      <c r="G236"/>
    </row>
    <row r="237" spans="1:7">
      <c r="A237" s="72" t="s">
        <v>451</v>
      </c>
      <c r="B237">
        <v>15</v>
      </c>
      <c r="C237" t="s">
        <v>512</v>
      </c>
      <c r="D237">
        <v>2024</v>
      </c>
      <c r="E237">
        <v>9</v>
      </c>
      <c r="F237" s="74" t="str">
        <f>"40"</f>
        <v>40</v>
      </c>
      <c r="G237"/>
    </row>
    <row r="238" spans="1:7">
      <c r="A238" s="72" t="s">
        <v>452</v>
      </c>
      <c r="B238">
        <v>16</v>
      </c>
      <c r="C238" t="s">
        <v>512</v>
      </c>
      <c r="D238">
        <v>2024</v>
      </c>
      <c r="E238">
        <v>9</v>
      </c>
      <c r="F238" s="74" t="str">
        <f>"0"</f>
        <v>0</v>
      </c>
      <c r="G238"/>
    </row>
    <row r="239" spans="1:7">
      <c r="A239" s="72" t="s">
        <v>453</v>
      </c>
      <c r="B239">
        <v>17</v>
      </c>
      <c r="C239" t="s">
        <v>512</v>
      </c>
      <c r="D239">
        <v>2024</v>
      </c>
      <c r="E239">
        <v>9</v>
      </c>
      <c r="F239" s="74" t="str">
        <f>"1,180"</f>
        <v>1,180</v>
      </c>
      <c r="G239"/>
    </row>
    <row r="240" spans="1:7">
      <c r="A240" s="72" t="s">
        <v>10</v>
      </c>
      <c r="B240">
        <v>18</v>
      </c>
      <c r="C240" t="s">
        <v>512</v>
      </c>
      <c r="D240">
        <v>2024</v>
      </c>
      <c r="E240">
        <v>9</v>
      </c>
      <c r="F240" s="74" t="str">
        <f>"781"</f>
        <v>781</v>
      </c>
      <c r="G240"/>
    </row>
    <row r="241" spans="1:7">
      <c r="A241" s="72" t="s">
        <v>454</v>
      </c>
      <c r="B241">
        <v>19</v>
      </c>
      <c r="C241" t="s">
        <v>512</v>
      </c>
      <c r="D241">
        <v>2024</v>
      </c>
      <c r="E241">
        <v>9</v>
      </c>
      <c r="F241" s="74" t="str">
        <f>"141"</f>
        <v>141</v>
      </c>
      <c r="G241"/>
    </row>
    <row r="242" spans="1:7">
      <c r="A242" s="72" t="s">
        <v>455</v>
      </c>
      <c r="B242">
        <v>20</v>
      </c>
      <c r="C242" t="s">
        <v>512</v>
      </c>
      <c r="D242">
        <v>2024</v>
      </c>
      <c r="E242">
        <v>9</v>
      </c>
      <c r="F242" s="74" t="str">
        <f>"503"</f>
        <v>503</v>
      </c>
      <c r="G242"/>
    </row>
    <row r="243" spans="1:7">
      <c r="A243" s="72" t="s">
        <v>456</v>
      </c>
      <c r="B243">
        <v>21</v>
      </c>
      <c r="C243" t="s">
        <v>512</v>
      </c>
      <c r="D243">
        <v>2024</v>
      </c>
      <c r="E243">
        <v>9</v>
      </c>
      <c r="F243" s="74" t="str">
        <f>"137"</f>
        <v>137</v>
      </c>
      <c r="G243"/>
    </row>
    <row r="244" spans="1:7">
      <c r="A244" s="72" t="s">
        <v>457</v>
      </c>
      <c r="B244">
        <v>22</v>
      </c>
      <c r="C244" t="s">
        <v>512</v>
      </c>
      <c r="D244">
        <v>2024</v>
      </c>
      <c r="E244">
        <v>9</v>
      </c>
      <c r="F244" s="75" t="str">
        <f>"0.180538"</f>
        <v>0.180538</v>
      </c>
      <c r="G244"/>
    </row>
    <row r="245" spans="1:7">
      <c r="A245" s="72" t="s">
        <v>458</v>
      </c>
      <c r="B245">
        <v>23</v>
      </c>
      <c r="C245" t="s">
        <v>512</v>
      </c>
      <c r="D245">
        <v>2024</v>
      </c>
      <c r="E245">
        <v>9</v>
      </c>
      <c r="F245" s="75" t="str">
        <f>"0.644046"</f>
        <v>0.644046</v>
      </c>
      <c r="G245"/>
    </row>
    <row r="246" spans="1:7">
      <c r="A246" s="72" t="s">
        <v>459</v>
      </c>
      <c r="B246">
        <v>24</v>
      </c>
      <c r="C246" t="s">
        <v>512</v>
      </c>
      <c r="D246">
        <v>2024</v>
      </c>
      <c r="E246">
        <v>9</v>
      </c>
      <c r="F246" s="75" t="str">
        <f>"0.175416"</f>
        <v>0.175416</v>
      </c>
      <c r="G246"/>
    </row>
    <row r="247" spans="1:7">
      <c r="A247" s="72" t="s">
        <v>460</v>
      </c>
      <c r="B247">
        <v>25</v>
      </c>
      <c r="C247" t="s">
        <v>512</v>
      </c>
      <c r="D247">
        <v>2024</v>
      </c>
      <c r="E247">
        <v>9</v>
      </c>
      <c r="F247" s="74" t="str">
        <f>"183"</f>
        <v>183</v>
      </c>
      <c r="G247" t="s">
        <v>562</v>
      </c>
    </row>
    <row r="248" spans="1:7">
      <c r="A248" s="72" t="s">
        <v>462</v>
      </c>
      <c r="B248">
        <v>26</v>
      </c>
      <c r="C248" t="s">
        <v>512</v>
      </c>
      <c r="D248">
        <v>2024</v>
      </c>
      <c r="E248">
        <v>9</v>
      </c>
      <c r="F248" s="74" t="str">
        <f>"165"</f>
        <v>165</v>
      </c>
      <c r="G248" t="s">
        <v>465</v>
      </c>
    </row>
    <row r="249" spans="1:7">
      <c r="A249" s="72" t="s">
        <v>464</v>
      </c>
      <c r="B249">
        <v>27</v>
      </c>
      <c r="C249" t="s">
        <v>512</v>
      </c>
      <c r="D249">
        <v>2024</v>
      </c>
      <c r="E249">
        <v>9</v>
      </c>
      <c r="F249" s="74" t="str">
        <f>"92"</f>
        <v>92</v>
      </c>
      <c r="G249" t="s">
        <v>461</v>
      </c>
    </row>
    <row r="250" spans="1:7">
      <c r="A250" s="72" t="s">
        <v>466</v>
      </c>
      <c r="B250">
        <v>28</v>
      </c>
      <c r="C250" t="s">
        <v>512</v>
      </c>
      <c r="D250">
        <v>2024</v>
      </c>
      <c r="E250">
        <v>9</v>
      </c>
      <c r="F250" s="74" t="str">
        <f>"65"</f>
        <v>65</v>
      </c>
      <c r="G250"/>
    </row>
    <row r="251" spans="1:7">
      <c r="A251" s="72" t="s">
        <v>467</v>
      </c>
      <c r="B251">
        <v>29</v>
      </c>
      <c r="C251" t="s">
        <v>512</v>
      </c>
      <c r="D251">
        <v>2024</v>
      </c>
      <c r="E251">
        <v>9</v>
      </c>
      <c r="F251" s="75" t="str">
        <f>"0.65"</f>
        <v>0.65</v>
      </c>
      <c r="G251"/>
    </row>
    <row r="252" spans="1:7">
      <c r="A252" s="72" t="s">
        <v>468</v>
      </c>
      <c r="B252">
        <v>30</v>
      </c>
      <c r="C252" t="s">
        <v>512</v>
      </c>
      <c r="D252">
        <v>2024</v>
      </c>
      <c r="E252">
        <v>9</v>
      </c>
      <c r="F252" s="74" t="str">
        <f t="shared" ref="F252:F276" si="4">"0"</f>
        <v>0</v>
      </c>
      <c r="G252"/>
    </row>
    <row r="253" spans="1:7">
      <c r="A253" s="72" t="s">
        <v>469</v>
      </c>
      <c r="B253">
        <v>31</v>
      </c>
      <c r="C253" t="s">
        <v>512</v>
      </c>
      <c r="D253">
        <v>2024</v>
      </c>
      <c r="E253">
        <v>9</v>
      </c>
      <c r="F253" s="74" t="str">
        <f t="shared" si="4"/>
        <v>0</v>
      </c>
      <c r="G253"/>
    </row>
    <row r="254" spans="1:7">
      <c r="A254" s="7" t="s">
        <v>470</v>
      </c>
      <c r="B254">
        <v>32</v>
      </c>
      <c r="C254" t="s">
        <v>512</v>
      </c>
      <c r="D254">
        <v>2024</v>
      </c>
      <c r="E254">
        <v>9</v>
      </c>
      <c r="F254" s="74" t="str">
        <f t="shared" si="4"/>
        <v>0</v>
      </c>
      <c r="G254"/>
    </row>
    <row r="255" spans="1:7">
      <c r="A255" s="7" t="s">
        <v>471</v>
      </c>
      <c r="B255">
        <v>33</v>
      </c>
      <c r="C255" t="s">
        <v>512</v>
      </c>
      <c r="D255">
        <v>2024</v>
      </c>
      <c r="E255">
        <v>9</v>
      </c>
      <c r="F255" s="74" t="str">
        <f t="shared" si="4"/>
        <v>0</v>
      </c>
      <c r="G255"/>
    </row>
    <row r="256" spans="1:7">
      <c r="A256" s="7" t="s">
        <v>473</v>
      </c>
      <c r="B256">
        <v>34</v>
      </c>
      <c r="C256" t="s">
        <v>512</v>
      </c>
      <c r="D256">
        <v>2024</v>
      </c>
      <c r="E256">
        <v>9</v>
      </c>
      <c r="F256" s="74" t="str">
        <f t="shared" si="4"/>
        <v>0</v>
      </c>
      <c r="G256"/>
    </row>
    <row r="257" spans="1:7">
      <c r="A257" s="7" t="s">
        <v>475</v>
      </c>
      <c r="B257">
        <v>35</v>
      </c>
      <c r="C257" t="s">
        <v>512</v>
      </c>
      <c r="D257">
        <v>2024</v>
      </c>
      <c r="E257">
        <v>9</v>
      </c>
      <c r="F257" s="74" t="str">
        <f t="shared" si="4"/>
        <v>0</v>
      </c>
      <c r="G257"/>
    </row>
    <row r="258" spans="1:7">
      <c r="A258" s="7" t="s">
        <v>477</v>
      </c>
      <c r="B258">
        <v>36</v>
      </c>
      <c r="C258" t="s">
        <v>512</v>
      </c>
      <c r="D258">
        <v>2024</v>
      </c>
      <c r="E258">
        <v>9</v>
      </c>
      <c r="F258" s="74" t="str">
        <f t="shared" si="4"/>
        <v>0</v>
      </c>
      <c r="G258"/>
    </row>
    <row r="259" spans="1:7">
      <c r="A259" s="7" t="s">
        <v>479</v>
      </c>
      <c r="B259">
        <v>37</v>
      </c>
      <c r="C259" t="s">
        <v>512</v>
      </c>
      <c r="D259">
        <v>2024</v>
      </c>
      <c r="E259">
        <v>9</v>
      </c>
      <c r="F259" s="74" t="str">
        <f t="shared" si="4"/>
        <v>0</v>
      </c>
      <c r="G259"/>
    </row>
    <row r="260" spans="1:7">
      <c r="A260" s="7" t="s">
        <v>480</v>
      </c>
      <c r="B260">
        <v>38</v>
      </c>
      <c r="C260" t="s">
        <v>512</v>
      </c>
      <c r="D260">
        <v>2024</v>
      </c>
      <c r="E260">
        <v>9</v>
      </c>
      <c r="F260" s="74" t="str">
        <f t="shared" si="4"/>
        <v>0</v>
      </c>
      <c r="G260"/>
    </row>
    <row r="261" spans="1:7">
      <c r="A261" s="7" t="s">
        <v>481</v>
      </c>
      <c r="B261">
        <v>39</v>
      </c>
      <c r="C261" t="s">
        <v>512</v>
      </c>
      <c r="D261">
        <v>2024</v>
      </c>
      <c r="E261">
        <v>9</v>
      </c>
      <c r="F261" s="74" t="str">
        <f t="shared" si="4"/>
        <v>0</v>
      </c>
      <c r="G261"/>
    </row>
    <row r="262" spans="1:7">
      <c r="A262" s="7" t="s">
        <v>482</v>
      </c>
      <c r="B262">
        <v>40</v>
      </c>
      <c r="C262" t="s">
        <v>512</v>
      </c>
      <c r="D262">
        <v>2024</v>
      </c>
      <c r="E262">
        <v>9</v>
      </c>
      <c r="F262" s="74" t="str">
        <f t="shared" si="4"/>
        <v>0</v>
      </c>
      <c r="G262"/>
    </row>
    <row r="263" spans="1:7">
      <c r="A263" s="7" t="s">
        <v>483</v>
      </c>
      <c r="B263">
        <v>41</v>
      </c>
      <c r="C263" t="s">
        <v>512</v>
      </c>
      <c r="D263">
        <v>2024</v>
      </c>
      <c r="E263">
        <v>9</v>
      </c>
      <c r="F263" s="74" t="str">
        <f t="shared" si="4"/>
        <v>0</v>
      </c>
      <c r="G263"/>
    </row>
    <row r="264" spans="1:7">
      <c r="A264" s="7" t="s">
        <v>484</v>
      </c>
      <c r="B264">
        <v>42</v>
      </c>
      <c r="C264" t="s">
        <v>512</v>
      </c>
      <c r="D264">
        <v>2024</v>
      </c>
      <c r="E264">
        <v>9</v>
      </c>
      <c r="F264" s="74" t="str">
        <f t="shared" si="4"/>
        <v>0</v>
      </c>
      <c r="G264"/>
    </row>
    <row r="265" spans="1:7">
      <c r="A265" s="7" t="s">
        <v>485</v>
      </c>
      <c r="B265">
        <v>43</v>
      </c>
      <c r="C265" t="s">
        <v>512</v>
      </c>
      <c r="D265">
        <v>2024</v>
      </c>
      <c r="E265">
        <v>9</v>
      </c>
      <c r="F265" s="74" t="str">
        <f t="shared" si="4"/>
        <v>0</v>
      </c>
      <c r="G265"/>
    </row>
    <row r="266" spans="1:7">
      <c r="A266" s="7" t="s">
        <v>486</v>
      </c>
      <c r="B266">
        <v>44</v>
      </c>
      <c r="C266" t="s">
        <v>512</v>
      </c>
      <c r="D266">
        <v>2024</v>
      </c>
      <c r="E266">
        <v>9</v>
      </c>
      <c r="F266" s="74" t="str">
        <f t="shared" si="4"/>
        <v>0</v>
      </c>
      <c r="G266"/>
    </row>
    <row r="267" spans="1:7">
      <c r="A267" s="7" t="s">
        <v>487</v>
      </c>
      <c r="B267">
        <v>45</v>
      </c>
      <c r="C267" t="s">
        <v>512</v>
      </c>
      <c r="D267">
        <v>2024</v>
      </c>
      <c r="E267">
        <v>9</v>
      </c>
      <c r="F267" s="74" t="str">
        <f t="shared" si="4"/>
        <v>0</v>
      </c>
      <c r="G267"/>
    </row>
    <row r="268" spans="1:7">
      <c r="A268" s="7" t="s">
        <v>489</v>
      </c>
      <c r="B268">
        <v>46</v>
      </c>
      <c r="C268" t="s">
        <v>512</v>
      </c>
      <c r="D268">
        <v>2024</v>
      </c>
      <c r="E268">
        <v>9</v>
      </c>
      <c r="F268" s="74" t="str">
        <f t="shared" si="4"/>
        <v>0</v>
      </c>
      <c r="G268"/>
    </row>
    <row r="269" spans="1:7">
      <c r="A269" s="7" t="s">
        <v>491</v>
      </c>
      <c r="B269">
        <v>47</v>
      </c>
      <c r="C269" t="s">
        <v>512</v>
      </c>
      <c r="D269">
        <v>2024</v>
      </c>
      <c r="E269">
        <v>9</v>
      </c>
      <c r="F269" s="74" t="str">
        <f t="shared" si="4"/>
        <v>0</v>
      </c>
      <c r="G269"/>
    </row>
    <row r="270" spans="1:7">
      <c r="A270" s="7" t="s">
        <v>492</v>
      </c>
      <c r="B270">
        <v>48</v>
      </c>
      <c r="C270" t="s">
        <v>512</v>
      </c>
      <c r="D270">
        <v>2024</v>
      </c>
      <c r="E270">
        <v>9</v>
      </c>
      <c r="F270" s="74" t="str">
        <f t="shared" si="4"/>
        <v>0</v>
      </c>
      <c r="G270"/>
    </row>
    <row r="271" spans="1:7">
      <c r="A271" s="7" t="s">
        <v>493</v>
      </c>
      <c r="B271">
        <v>49</v>
      </c>
      <c r="C271" t="s">
        <v>512</v>
      </c>
      <c r="D271">
        <v>2024</v>
      </c>
      <c r="E271">
        <v>9</v>
      </c>
      <c r="F271" s="74" t="str">
        <f t="shared" si="4"/>
        <v>0</v>
      </c>
      <c r="G271"/>
    </row>
    <row r="272" spans="1:7">
      <c r="A272" s="7" t="s">
        <v>494</v>
      </c>
      <c r="B272">
        <v>50</v>
      </c>
      <c r="C272" t="s">
        <v>512</v>
      </c>
      <c r="D272">
        <v>2024</v>
      </c>
      <c r="E272">
        <v>9</v>
      </c>
      <c r="F272" s="74" t="str">
        <f t="shared" si="4"/>
        <v>0</v>
      </c>
      <c r="G272"/>
    </row>
    <row r="273" spans="1:7">
      <c r="A273" s="7" t="s">
        <v>495</v>
      </c>
      <c r="B273">
        <v>51</v>
      </c>
      <c r="C273" t="s">
        <v>512</v>
      </c>
      <c r="D273">
        <v>2024</v>
      </c>
      <c r="E273">
        <v>9</v>
      </c>
      <c r="F273" s="74" t="str">
        <f t="shared" si="4"/>
        <v>0</v>
      </c>
      <c r="G273"/>
    </row>
    <row r="274" spans="1:7">
      <c r="A274" s="7" t="s">
        <v>496</v>
      </c>
      <c r="B274">
        <v>52</v>
      </c>
      <c r="C274" t="s">
        <v>512</v>
      </c>
      <c r="D274">
        <v>2024</v>
      </c>
      <c r="E274">
        <v>9</v>
      </c>
      <c r="F274" s="74" t="str">
        <f t="shared" si="4"/>
        <v>0</v>
      </c>
      <c r="G274"/>
    </row>
    <row r="275" spans="1:7">
      <c r="A275" s="7" t="s">
        <v>497</v>
      </c>
      <c r="B275">
        <v>53</v>
      </c>
      <c r="C275" t="s">
        <v>512</v>
      </c>
      <c r="D275">
        <v>2024</v>
      </c>
      <c r="E275">
        <v>9</v>
      </c>
      <c r="F275" s="74" t="str">
        <f t="shared" si="4"/>
        <v>0</v>
      </c>
      <c r="G275"/>
    </row>
    <row r="276" spans="1:7" ht="15" thickBot="1">
      <c r="A276" s="73" t="s">
        <v>498</v>
      </c>
      <c r="B276">
        <v>54</v>
      </c>
      <c r="C276" t="s">
        <v>512</v>
      </c>
      <c r="D276">
        <v>2024</v>
      </c>
      <c r="E276">
        <v>9</v>
      </c>
      <c r="F276" s="74" t="str">
        <f t="shared" si="4"/>
        <v>0</v>
      </c>
      <c r="G276"/>
    </row>
    <row r="277" spans="1:7">
      <c r="A277" s="72" t="s">
        <v>435</v>
      </c>
      <c r="B277">
        <v>1</v>
      </c>
      <c r="C277" t="s">
        <v>513</v>
      </c>
      <c r="D277">
        <v>2024</v>
      </c>
      <c r="E277">
        <v>9</v>
      </c>
      <c r="F277" s="74" t="str">
        <f>"46"</f>
        <v>46</v>
      </c>
      <c r="G277"/>
    </row>
    <row r="278" spans="1:7">
      <c r="A278" s="72" t="s">
        <v>438</v>
      </c>
      <c r="B278">
        <v>2</v>
      </c>
      <c r="C278" t="s">
        <v>513</v>
      </c>
      <c r="D278">
        <v>2024</v>
      </c>
      <c r="E278">
        <v>9</v>
      </c>
      <c r="F278" s="74" t="str">
        <f>"46"</f>
        <v>46</v>
      </c>
      <c r="G278"/>
    </row>
    <row r="279" spans="1:7">
      <c r="A279" s="72" t="s">
        <v>439</v>
      </c>
      <c r="B279">
        <v>3</v>
      </c>
      <c r="C279" t="s">
        <v>513</v>
      </c>
      <c r="D279">
        <v>2024</v>
      </c>
      <c r="E279">
        <v>9</v>
      </c>
      <c r="F279" s="75" t="str">
        <f>"96.86"</f>
        <v>96.86</v>
      </c>
      <c r="G279"/>
    </row>
    <row r="280" spans="1:7">
      <c r="A280" s="72" t="s">
        <v>440</v>
      </c>
      <c r="B280">
        <v>4</v>
      </c>
      <c r="C280" t="s">
        <v>513</v>
      </c>
      <c r="D280">
        <v>2024</v>
      </c>
      <c r="E280">
        <v>9</v>
      </c>
      <c r="F280" s="74" t="str">
        <f>"1"</f>
        <v>1</v>
      </c>
      <c r="G280"/>
    </row>
    <row r="281" spans="1:7">
      <c r="A281" s="72" t="s">
        <v>441</v>
      </c>
      <c r="B281">
        <v>5</v>
      </c>
      <c r="C281" t="s">
        <v>513</v>
      </c>
      <c r="D281">
        <v>2024</v>
      </c>
      <c r="E281">
        <v>9</v>
      </c>
      <c r="F281" s="75" t="str">
        <f>"0.02"</f>
        <v>0.02</v>
      </c>
      <c r="G281"/>
    </row>
    <row r="282" spans="1:7">
      <c r="A282" s="72" t="s">
        <v>442</v>
      </c>
      <c r="B282">
        <v>6</v>
      </c>
      <c r="C282" t="s">
        <v>513</v>
      </c>
      <c r="D282">
        <v>2024</v>
      </c>
      <c r="E282">
        <v>9</v>
      </c>
      <c r="F282" s="74" t="str">
        <f>"99"</f>
        <v>99</v>
      </c>
      <c r="G282"/>
    </row>
    <row r="283" spans="1:7">
      <c r="A283" s="72" t="s">
        <v>443</v>
      </c>
      <c r="B283">
        <v>7</v>
      </c>
      <c r="C283" t="s">
        <v>513</v>
      </c>
      <c r="D283">
        <v>2024</v>
      </c>
      <c r="E283">
        <v>9</v>
      </c>
      <c r="F283" s="75" t="str">
        <f>"4.17"</f>
        <v>4.17</v>
      </c>
      <c r="G283"/>
    </row>
    <row r="284" spans="1:7">
      <c r="A284" s="72" t="s">
        <v>444</v>
      </c>
      <c r="B284">
        <v>8</v>
      </c>
      <c r="C284" t="s">
        <v>513</v>
      </c>
      <c r="D284">
        <v>2024</v>
      </c>
      <c r="E284">
        <v>9</v>
      </c>
      <c r="F284" s="74" t="str">
        <f>"9"</f>
        <v>9</v>
      </c>
      <c r="G284"/>
    </row>
    <row r="285" spans="1:7">
      <c r="A285" s="72" t="s">
        <v>445</v>
      </c>
      <c r="B285">
        <v>9</v>
      </c>
      <c r="C285" t="s">
        <v>513</v>
      </c>
      <c r="D285">
        <v>2024</v>
      </c>
      <c r="E285">
        <v>9</v>
      </c>
      <c r="F285" s="74" t="str">
        <f>"10"</f>
        <v>10</v>
      </c>
      <c r="G285"/>
    </row>
    <row r="286" spans="1:7">
      <c r="A286" s="72" t="s">
        <v>446</v>
      </c>
      <c r="B286">
        <v>10</v>
      </c>
      <c r="C286" t="s">
        <v>513</v>
      </c>
      <c r="D286">
        <v>2024</v>
      </c>
      <c r="E286">
        <v>9</v>
      </c>
      <c r="F286" s="74" t="str">
        <f>"1"</f>
        <v>1</v>
      </c>
      <c r="G286"/>
    </row>
    <row r="287" spans="1:7">
      <c r="A287" s="72" t="s">
        <v>447</v>
      </c>
      <c r="B287">
        <v>11</v>
      </c>
      <c r="C287" t="s">
        <v>513</v>
      </c>
      <c r="D287">
        <v>2024</v>
      </c>
      <c r="E287">
        <v>9</v>
      </c>
      <c r="F287" s="74" t="str">
        <f>"0"</f>
        <v>0</v>
      </c>
      <c r="G287"/>
    </row>
    <row r="288" spans="1:7">
      <c r="A288" s="72" t="s">
        <v>448</v>
      </c>
      <c r="B288">
        <v>12</v>
      </c>
      <c r="C288" t="s">
        <v>513</v>
      </c>
      <c r="D288">
        <v>2024</v>
      </c>
      <c r="E288">
        <v>9</v>
      </c>
      <c r="F288" s="74" t="str">
        <f>"8"</f>
        <v>8</v>
      </c>
      <c r="G288"/>
    </row>
    <row r="289" spans="1:7">
      <c r="A289" s="72" t="s">
        <v>449</v>
      </c>
      <c r="B289">
        <v>13</v>
      </c>
      <c r="C289" t="s">
        <v>513</v>
      </c>
      <c r="D289">
        <v>2024</v>
      </c>
      <c r="E289">
        <v>9</v>
      </c>
      <c r="F289" s="74" t="str">
        <f>"46"</f>
        <v>46</v>
      </c>
      <c r="G289"/>
    </row>
    <row r="290" spans="1:7">
      <c r="A290" s="72" t="s">
        <v>450</v>
      </c>
      <c r="B290">
        <v>14</v>
      </c>
      <c r="C290" t="s">
        <v>513</v>
      </c>
      <c r="D290">
        <v>2024</v>
      </c>
      <c r="E290">
        <v>9</v>
      </c>
      <c r="F290" s="74" t="str">
        <f>"28"</f>
        <v>28</v>
      </c>
      <c r="G290"/>
    </row>
    <row r="291" spans="1:7">
      <c r="A291" s="72" t="s">
        <v>451</v>
      </c>
      <c r="B291">
        <v>15</v>
      </c>
      <c r="C291" t="s">
        <v>513</v>
      </c>
      <c r="D291">
        <v>2024</v>
      </c>
      <c r="E291">
        <v>9</v>
      </c>
      <c r="F291" s="74" t="str">
        <f>"37"</f>
        <v>37</v>
      </c>
      <c r="G291"/>
    </row>
    <row r="292" spans="1:7">
      <c r="A292" s="72" t="s">
        <v>452</v>
      </c>
      <c r="B292">
        <v>16</v>
      </c>
      <c r="C292" t="s">
        <v>513</v>
      </c>
      <c r="D292">
        <v>2024</v>
      </c>
      <c r="E292">
        <v>9</v>
      </c>
      <c r="F292" s="74" t="str">
        <f>"10"</f>
        <v>10</v>
      </c>
      <c r="G292"/>
    </row>
    <row r="293" spans="1:7">
      <c r="A293" s="72" t="s">
        <v>453</v>
      </c>
      <c r="B293">
        <v>17</v>
      </c>
      <c r="C293" t="s">
        <v>513</v>
      </c>
      <c r="D293">
        <v>2024</v>
      </c>
      <c r="E293">
        <v>9</v>
      </c>
      <c r="F293" s="74" t="str">
        <f>"491"</f>
        <v>491</v>
      </c>
      <c r="G293"/>
    </row>
    <row r="294" spans="1:7">
      <c r="A294" s="72" t="s">
        <v>10</v>
      </c>
      <c r="B294">
        <v>18</v>
      </c>
      <c r="C294" t="s">
        <v>513</v>
      </c>
      <c r="D294">
        <v>2024</v>
      </c>
      <c r="E294">
        <v>9</v>
      </c>
      <c r="F294" s="74" t="str">
        <f>"112"</f>
        <v>112</v>
      </c>
      <c r="G294"/>
    </row>
    <row r="295" spans="1:7">
      <c r="A295" s="72" t="s">
        <v>454</v>
      </c>
      <c r="B295">
        <v>19</v>
      </c>
      <c r="C295" t="s">
        <v>513</v>
      </c>
      <c r="D295">
        <v>2024</v>
      </c>
      <c r="E295">
        <v>9</v>
      </c>
      <c r="F295" s="74" t="str">
        <f>"42"</f>
        <v>42</v>
      </c>
      <c r="G295"/>
    </row>
    <row r="296" spans="1:7">
      <c r="A296" s="72" t="s">
        <v>455</v>
      </c>
      <c r="B296">
        <v>20</v>
      </c>
      <c r="C296" t="s">
        <v>513</v>
      </c>
      <c r="D296">
        <v>2024</v>
      </c>
      <c r="E296">
        <v>9</v>
      </c>
      <c r="F296" s="74" t="str">
        <f>"31"</f>
        <v>31</v>
      </c>
      <c r="G296"/>
    </row>
    <row r="297" spans="1:7">
      <c r="A297" s="72" t="s">
        <v>456</v>
      </c>
      <c r="B297">
        <v>21</v>
      </c>
      <c r="C297" t="s">
        <v>513</v>
      </c>
      <c r="D297">
        <v>2024</v>
      </c>
      <c r="E297">
        <v>9</v>
      </c>
      <c r="F297" s="74" t="str">
        <f>"39"</f>
        <v>39</v>
      </c>
      <c r="G297"/>
    </row>
    <row r="298" spans="1:7">
      <c r="A298" s="72" t="s">
        <v>457</v>
      </c>
      <c r="B298">
        <v>22</v>
      </c>
      <c r="C298" t="s">
        <v>513</v>
      </c>
      <c r="D298">
        <v>2024</v>
      </c>
      <c r="E298">
        <v>9</v>
      </c>
      <c r="F298" s="75" t="str">
        <f>"0.375"</f>
        <v>0.375</v>
      </c>
      <c r="G298"/>
    </row>
    <row r="299" spans="1:7">
      <c r="A299" s="72" t="s">
        <v>458</v>
      </c>
      <c r="B299">
        <v>23</v>
      </c>
      <c r="C299" t="s">
        <v>513</v>
      </c>
      <c r="D299">
        <v>2024</v>
      </c>
      <c r="E299">
        <v>9</v>
      </c>
      <c r="F299" s="75" t="str">
        <f>"0.276786"</f>
        <v>0.276786</v>
      </c>
      <c r="G299"/>
    </row>
    <row r="300" spans="1:7">
      <c r="A300" s="72" t="s">
        <v>459</v>
      </c>
      <c r="B300">
        <v>24</v>
      </c>
      <c r="C300" t="s">
        <v>513</v>
      </c>
      <c r="D300">
        <v>2024</v>
      </c>
      <c r="E300">
        <v>9</v>
      </c>
      <c r="F300" s="75" t="str">
        <f>"0.348214"</f>
        <v>0.348214</v>
      </c>
      <c r="G300"/>
    </row>
    <row r="301" spans="1:7">
      <c r="A301" s="72" t="s">
        <v>460</v>
      </c>
      <c r="B301">
        <v>25</v>
      </c>
      <c r="C301" t="s">
        <v>513</v>
      </c>
      <c r="D301">
        <v>2024</v>
      </c>
      <c r="E301">
        <v>9</v>
      </c>
      <c r="F301" s="74" t="str">
        <f>"10"</f>
        <v>10</v>
      </c>
      <c r="G301" t="s">
        <v>463</v>
      </c>
    </row>
    <row r="302" spans="1:7">
      <c r="A302" s="72" t="s">
        <v>462</v>
      </c>
      <c r="B302">
        <v>26</v>
      </c>
      <c r="C302" t="s">
        <v>513</v>
      </c>
      <c r="D302">
        <v>2024</v>
      </c>
      <c r="E302">
        <v>9</v>
      </c>
      <c r="F302" s="74" t="str">
        <f>"5"</f>
        <v>5</v>
      </c>
      <c r="G302" t="s">
        <v>461</v>
      </c>
    </row>
    <row r="303" spans="1:7">
      <c r="A303" s="72" t="s">
        <v>464</v>
      </c>
      <c r="B303">
        <v>27</v>
      </c>
      <c r="C303" t="s">
        <v>513</v>
      </c>
      <c r="D303">
        <v>2024</v>
      </c>
      <c r="E303">
        <v>9</v>
      </c>
      <c r="F303" s="74" t="str">
        <f>"4"</f>
        <v>4</v>
      </c>
      <c r="G303" t="s">
        <v>563</v>
      </c>
    </row>
    <row r="304" spans="1:7">
      <c r="A304" s="72" t="s">
        <v>466</v>
      </c>
      <c r="B304">
        <v>28</v>
      </c>
      <c r="C304" t="s">
        <v>513</v>
      </c>
      <c r="D304">
        <v>2024</v>
      </c>
      <c r="E304">
        <v>9</v>
      </c>
      <c r="F304" s="74" t="str">
        <f>"273"</f>
        <v>273</v>
      </c>
      <c r="G304"/>
    </row>
    <row r="305" spans="1:7">
      <c r="A305" s="72" t="s">
        <v>467</v>
      </c>
      <c r="B305">
        <v>29</v>
      </c>
      <c r="C305" t="s">
        <v>513</v>
      </c>
      <c r="D305">
        <v>2024</v>
      </c>
      <c r="E305">
        <v>9</v>
      </c>
      <c r="F305" s="75" t="str">
        <f>"0.96"</f>
        <v>0.96</v>
      </c>
      <c r="G305"/>
    </row>
    <row r="306" spans="1:7">
      <c r="A306" s="72" t="s">
        <v>468</v>
      </c>
      <c r="B306">
        <v>30</v>
      </c>
      <c r="C306" t="s">
        <v>513</v>
      </c>
      <c r="D306">
        <v>2024</v>
      </c>
      <c r="E306">
        <v>9</v>
      </c>
      <c r="F306" s="74" t="str">
        <f t="shared" ref="F306:F330" si="5">"0"</f>
        <v>0</v>
      </c>
      <c r="G306"/>
    </row>
    <row r="307" spans="1:7">
      <c r="A307" s="72" t="s">
        <v>469</v>
      </c>
      <c r="B307">
        <v>31</v>
      </c>
      <c r="C307" t="s">
        <v>513</v>
      </c>
      <c r="D307">
        <v>2024</v>
      </c>
      <c r="E307">
        <v>9</v>
      </c>
      <c r="F307" s="74" t="str">
        <f t="shared" si="5"/>
        <v>0</v>
      </c>
      <c r="G307"/>
    </row>
    <row r="308" spans="1:7">
      <c r="A308" s="7" t="s">
        <v>470</v>
      </c>
      <c r="B308">
        <v>32</v>
      </c>
      <c r="C308" t="s">
        <v>513</v>
      </c>
      <c r="D308">
        <v>2024</v>
      </c>
      <c r="E308">
        <v>9</v>
      </c>
      <c r="F308" s="74" t="str">
        <f t="shared" si="5"/>
        <v>0</v>
      </c>
      <c r="G308"/>
    </row>
    <row r="309" spans="1:7">
      <c r="A309" s="7" t="s">
        <v>471</v>
      </c>
      <c r="B309">
        <v>33</v>
      </c>
      <c r="C309" t="s">
        <v>513</v>
      </c>
      <c r="D309">
        <v>2024</v>
      </c>
      <c r="E309">
        <v>9</v>
      </c>
      <c r="F309" s="74" t="str">
        <f t="shared" si="5"/>
        <v>0</v>
      </c>
      <c r="G309"/>
    </row>
    <row r="310" spans="1:7">
      <c r="A310" s="7" t="s">
        <v>473</v>
      </c>
      <c r="B310">
        <v>34</v>
      </c>
      <c r="C310" t="s">
        <v>513</v>
      </c>
      <c r="D310">
        <v>2024</v>
      </c>
      <c r="E310">
        <v>9</v>
      </c>
      <c r="F310" s="74" t="str">
        <f t="shared" si="5"/>
        <v>0</v>
      </c>
      <c r="G310"/>
    </row>
    <row r="311" spans="1:7">
      <c r="A311" s="7" t="s">
        <v>475</v>
      </c>
      <c r="B311">
        <v>35</v>
      </c>
      <c r="C311" t="s">
        <v>513</v>
      </c>
      <c r="D311">
        <v>2024</v>
      </c>
      <c r="E311">
        <v>9</v>
      </c>
      <c r="F311" s="74" t="str">
        <f t="shared" si="5"/>
        <v>0</v>
      </c>
      <c r="G311"/>
    </row>
    <row r="312" spans="1:7">
      <c r="A312" s="7" t="s">
        <v>477</v>
      </c>
      <c r="B312">
        <v>36</v>
      </c>
      <c r="C312" t="s">
        <v>513</v>
      </c>
      <c r="D312">
        <v>2024</v>
      </c>
      <c r="E312">
        <v>9</v>
      </c>
      <c r="F312" s="74" t="str">
        <f t="shared" si="5"/>
        <v>0</v>
      </c>
      <c r="G312"/>
    </row>
    <row r="313" spans="1:7">
      <c r="A313" s="7" t="s">
        <v>479</v>
      </c>
      <c r="B313">
        <v>37</v>
      </c>
      <c r="C313" t="s">
        <v>513</v>
      </c>
      <c r="D313">
        <v>2024</v>
      </c>
      <c r="E313">
        <v>9</v>
      </c>
      <c r="F313" s="74" t="str">
        <f t="shared" si="5"/>
        <v>0</v>
      </c>
      <c r="G313"/>
    </row>
    <row r="314" spans="1:7">
      <c r="A314" s="7" t="s">
        <v>480</v>
      </c>
      <c r="B314">
        <v>38</v>
      </c>
      <c r="C314" t="s">
        <v>513</v>
      </c>
      <c r="D314">
        <v>2024</v>
      </c>
      <c r="E314">
        <v>9</v>
      </c>
      <c r="F314" s="74" t="str">
        <f t="shared" si="5"/>
        <v>0</v>
      </c>
      <c r="G314"/>
    </row>
    <row r="315" spans="1:7">
      <c r="A315" s="7" t="s">
        <v>481</v>
      </c>
      <c r="B315">
        <v>39</v>
      </c>
      <c r="C315" t="s">
        <v>513</v>
      </c>
      <c r="D315">
        <v>2024</v>
      </c>
      <c r="E315">
        <v>9</v>
      </c>
      <c r="F315" s="74" t="str">
        <f t="shared" si="5"/>
        <v>0</v>
      </c>
      <c r="G315"/>
    </row>
    <row r="316" spans="1:7">
      <c r="A316" s="7" t="s">
        <v>482</v>
      </c>
      <c r="B316">
        <v>40</v>
      </c>
      <c r="C316" t="s">
        <v>513</v>
      </c>
      <c r="D316">
        <v>2024</v>
      </c>
      <c r="E316">
        <v>9</v>
      </c>
      <c r="F316" s="74" t="str">
        <f t="shared" si="5"/>
        <v>0</v>
      </c>
      <c r="G316"/>
    </row>
    <row r="317" spans="1:7">
      <c r="A317" s="7" t="s">
        <v>483</v>
      </c>
      <c r="B317">
        <v>41</v>
      </c>
      <c r="C317" t="s">
        <v>513</v>
      </c>
      <c r="D317">
        <v>2024</v>
      </c>
      <c r="E317">
        <v>9</v>
      </c>
      <c r="F317" s="74" t="str">
        <f t="shared" si="5"/>
        <v>0</v>
      </c>
      <c r="G317"/>
    </row>
    <row r="318" spans="1:7">
      <c r="A318" s="7" t="s">
        <v>484</v>
      </c>
      <c r="B318">
        <v>42</v>
      </c>
      <c r="C318" t="s">
        <v>513</v>
      </c>
      <c r="D318">
        <v>2024</v>
      </c>
      <c r="E318">
        <v>9</v>
      </c>
      <c r="F318" s="74" t="str">
        <f t="shared" si="5"/>
        <v>0</v>
      </c>
      <c r="G318"/>
    </row>
    <row r="319" spans="1:7">
      <c r="A319" s="7" t="s">
        <v>485</v>
      </c>
      <c r="B319">
        <v>43</v>
      </c>
      <c r="C319" t="s">
        <v>513</v>
      </c>
      <c r="D319">
        <v>2024</v>
      </c>
      <c r="E319">
        <v>9</v>
      </c>
      <c r="F319" s="74" t="str">
        <f t="shared" si="5"/>
        <v>0</v>
      </c>
      <c r="G319"/>
    </row>
    <row r="320" spans="1:7">
      <c r="A320" s="7" t="s">
        <v>486</v>
      </c>
      <c r="B320">
        <v>44</v>
      </c>
      <c r="C320" t="s">
        <v>513</v>
      </c>
      <c r="D320">
        <v>2024</v>
      </c>
      <c r="E320">
        <v>9</v>
      </c>
      <c r="F320" s="74" t="str">
        <f t="shared" si="5"/>
        <v>0</v>
      </c>
      <c r="G320"/>
    </row>
    <row r="321" spans="1:7">
      <c r="A321" s="7" t="s">
        <v>487</v>
      </c>
      <c r="B321">
        <v>45</v>
      </c>
      <c r="C321" t="s">
        <v>513</v>
      </c>
      <c r="D321">
        <v>2024</v>
      </c>
      <c r="E321">
        <v>9</v>
      </c>
      <c r="F321" s="74" t="str">
        <f t="shared" si="5"/>
        <v>0</v>
      </c>
      <c r="G321"/>
    </row>
    <row r="322" spans="1:7">
      <c r="A322" s="7" t="s">
        <v>489</v>
      </c>
      <c r="B322">
        <v>46</v>
      </c>
      <c r="C322" t="s">
        <v>513</v>
      </c>
      <c r="D322">
        <v>2024</v>
      </c>
      <c r="E322">
        <v>9</v>
      </c>
      <c r="F322" s="74" t="str">
        <f t="shared" si="5"/>
        <v>0</v>
      </c>
      <c r="G322"/>
    </row>
    <row r="323" spans="1:7">
      <c r="A323" s="7" t="s">
        <v>491</v>
      </c>
      <c r="B323">
        <v>47</v>
      </c>
      <c r="C323" t="s">
        <v>513</v>
      </c>
      <c r="D323">
        <v>2024</v>
      </c>
      <c r="E323">
        <v>9</v>
      </c>
      <c r="F323" s="74" t="str">
        <f t="shared" si="5"/>
        <v>0</v>
      </c>
      <c r="G323"/>
    </row>
    <row r="324" spans="1:7">
      <c r="A324" s="7" t="s">
        <v>492</v>
      </c>
      <c r="B324">
        <v>48</v>
      </c>
      <c r="C324" t="s">
        <v>513</v>
      </c>
      <c r="D324">
        <v>2024</v>
      </c>
      <c r="E324">
        <v>9</v>
      </c>
      <c r="F324" s="74" t="str">
        <f t="shared" si="5"/>
        <v>0</v>
      </c>
      <c r="G324"/>
    </row>
    <row r="325" spans="1:7">
      <c r="A325" s="7" t="s">
        <v>493</v>
      </c>
      <c r="B325">
        <v>49</v>
      </c>
      <c r="C325" t="s">
        <v>513</v>
      </c>
      <c r="D325">
        <v>2024</v>
      </c>
      <c r="E325">
        <v>9</v>
      </c>
      <c r="F325" s="74" t="str">
        <f t="shared" si="5"/>
        <v>0</v>
      </c>
      <c r="G325"/>
    </row>
    <row r="326" spans="1:7">
      <c r="A326" s="7" t="s">
        <v>494</v>
      </c>
      <c r="B326">
        <v>50</v>
      </c>
      <c r="C326" t="s">
        <v>513</v>
      </c>
      <c r="D326">
        <v>2024</v>
      </c>
      <c r="E326">
        <v>9</v>
      </c>
      <c r="F326" s="74" t="str">
        <f t="shared" si="5"/>
        <v>0</v>
      </c>
      <c r="G326"/>
    </row>
    <row r="327" spans="1:7">
      <c r="A327" s="7" t="s">
        <v>495</v>
      </c>
      <c r="B327">
        <v>51</v>
      </c>
      <c r="C327" t="s">
        <v>513</v>
      </c>
      <c r="D327">
        <v>2024</v>
      </c>
      <c r="E327">
        <v>9</v>
      </c>
      <c r="F327" s="74" t="str">
        <f t="shared" si="5"/>
        <v>0</v>
      </c>
      <c r="G327"/>
    </row>
    <row r="328" spans="1:7">
      <c r="A328" s="7" t="s">
        <v>496</v>
      </c>
      <c r="B328">
        <v>52</v>
      </c>
      <c r="C328" t="s">
        <v>513</v>
      </c>
      <c r="D328">
        <v>2024</v>
      </c>
      <c r="E328">
        <v>9</v>
      </c>
      <c r="F328" s="74" t="str">
        <f t="shared" si="5"/>
        <v>0</v>
      </c>
      <c r="G328"/>
    </row>
    <row r="329" spans="1:7">
      <c r="A329" s="7" t="s">
        <v>497</v>
      </c>
      <c r="B329">
        <v>53</v>
      </c>
      <c r="C329" t="s">
        <v>513</v>
      </c>
      <c r="D329">
        <v>2024</v>
      </c>
      <c r="E329">
        <v>9</v>
      </c>
      <c r="F329" s="74" t="str">
        <f t="shared" si="5"/>
        <v>0</v>
      </c>
      <c r="G329"/>
    </row>
    <row r="330" spans="1:7">
      <c r="A330" s="7" t="s">
        <v>498</v>
      </c>
      <c r="B330">
        <v>54</v>
      </c>
      <c r="C330" t="s">
        <v>513</v>
      </c>
      <c r="D330">
        <v>2024</v>
      </c>
      <c r="E330">
        <v>9</v>
      </c>
      <c r="F330" s="74" t="str">
        <f t="shared" si="5"/>
        <v>0</v>
      </c>
      <c r="G330"/>
    </row>
  </sheetData>
  <autoFilter ref="A6:G330" xr:uid="{D721F1FA-D5E6-462D-BB4A-797EA4AB32A9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8A2AD-D160-4028-A448-80EEF48E4F89}">
  <sheetPr>
    <tabColor rgb="FF00B050"/>
  </sheetPr>
  <dimension ref="A1:Q96"/>
  <sheetViews>
    <sheetView zoomScale="115" zoomScaleNormal="115" workbookViewId="0">
      <selection activeCell="A42" sqref="A42"/>
    </sheetView>
  </sheetViews>
  <sheetFormatPr defaultRowHeight="14.4"/>
  <cols>
    <col min="1" max="1" width="15" customWidth="1"/>
    <col min="2" max="2" width="14.6640625" bestFit="1" customWidth="1"/>
    <col min="3" max="3" width="18.5546875" bestFit="1" customWidth="1"/>
    <col min="4" max="4" width="15.88671875" bestFit="1" customWidth="1"/>
    <col min="5" max="5" width="10.6640625" customWidth="1"/>
    <col min="6" max="6" width="19.109375" bestFit="1" customWidth="1"/>
    <col min="7" max="8" width="14.6640625" bestFit="1" customWidth="1"/>
    <col min="9" max="9" width="15.88671875" bestFit="1" customWidth="1"/>
  </cols>
  <sheetData>
    <row r="1" spans="1:9" ht="15" thickBot="1">
      <c r="A1" s="60" t="s">
        <v>514</v>
      </c>
      <c r="F1" s="60" t="s">
        <v>515</v>
      </c>
    </row>
    <row r="2" spans="1:9">
      <c r="B2" s="106" t="s">
        <v>436</v>
      </c>
      <c r="C2" s="106"/>
      <c r="G2" s="106" t="s">
        <v>436</v>
      </c>
      <c r="H2" s="106"/>
    </row>
    <row r="3" spans="1:9">
      <c r="B3" s="61" t="s">
        <v>474</v>
      </c>
      <c r="C3" s="61" t="s">
        <v>472</v>
      </c>
      <c r="D3" s="61" t="s">
        <v>516</v>
      </c>
      <c r="G3" s="61" t="s">
        <v>474</v>
      </c>
      <c r="H3" s="61" t="s">
        <v>472</v>
      </c>
      <c r="I3" s="61" t="s">
        <v>516</v>
      </c>
    </row>
    <row r="4" spans="1:9">
      <c r="A4" s="7" t="s">
        <v>488</v>
      </c>
      <c r="B4" s="7">
        <v>3</v>
      </c>
      <c r="C4">
        <v>0</v>
      </c>
      <c r="D4">
        <f>SUM(B4:C4)</f>
        <v>3</v>
      </c>
      <c r="F4" s="7" t="s">
        <v>476</v>
      </c>
      <c r="G4" s="7">
        <v>3</v>
      </c>
      <c r="H4">
        <v>2</v>
      </c>
      <c r="I4">
        <f>SUM(G4:H4)</f>
        <v>5</v>
      </c>
    </row>
    <row r="5" spans="1:9">
      <c r="A5" s="7" t="s">
        <v>517</v>
      </c>
      <c r="B5" s="7">
        <v>1</v>
      </c>
      <c r="C5">
        <v>1</v>
      </c>
      <c r="D5">
        <f>SUM(B5:C5)</f>
        <v>2</v>
      </c>
      <c r="F5" s="7" t="s">
        <v>478</v>
      </c>
      <c r="G5" s="7">
        <v>2</v>
      </c>
      <c r="H5">
        <v>1</v>
      </c>
      <c r="I5">
        <f>SUM(G5:H5)</f>
        <v>3</v>
      </c>
    </row>
    <row r="6" spans="1:9">
      <c r="A6" s="7" t="s">
        <v>490</v>
      </c>
      <c r="B6" s="7">
        <v>1</v>
      </c>
      <c r="C6">
        <v>1</v>
      </c>
      <c r="D6">
        <f>SUM(B6:C6)</f>
        <v>2</v>
      </c>
      <c r="F6" s="7" t="s">
        <v>501</v>
      </c>
      <c r="G6" s="7">
        <v>0</v>
      </c>
      <c r="H6">
        <v>1</v>
      </c>
      <c r="I6">
        <f>SUM(G6:H6)</f>
        <v>1</v>
      </c>
    </row>
    <row r="7" spans="1:9">
      <c r="A7" s="7" t="s">
        <v>518</v>
      </c>
      <c r="B7" s="7">
        <v>0</v>
      </c>
      <c r="C7">
        <v>1</v>
      </c>
      <c r="D7">
        <f>SUM(B7:C7)</f>
        <v>1</v>
      </c>
    </row>
    <row r="8" spans="1:9">
      <c r="A8" s="64" t="s">
        <v>506</v>
      </c>
      <c r="B8" s="64">
        <v>0</v>
      </c>
      <c r="C8" s="63">
        <v>1</v>
      </c>
      <c r="D8" s="63">
        <f>SUM(B8:C8)</f>
        <v>1</v>
      </c>
      <c r="F8" s="63"/>
      <c r="G8" s="63"/>
      <c r="H8" s="63"/>
      <c r="I8" s="63"/>
    </row>
    <row r="9" spans="1:9">
      <c r="D9" s="9">
        <f>SUM(D4:D8)</f>
        <v>9</v>
      </c>
      <c r="F9" s="55" t="s">
        <v>519</v>
      </c>
      <c r="G9" s="9">
        <f>SUM(G4:G8)</f>
        <v>5</v>
      </c>
      <c r="H9" s="9">
        <f>SUM(H4:H8)</f>
        <v>4</v>
      </c>
      <c r="I9" s="9">
        <f>SUM(I4:I8)</f>
        <v>9</v>
      </c>
    </row>
    <row r="13" spans="1:9">
      <c r="B13" s="106" t="s">
        <v>499</v>
      </c>
      <c r="C13" s="106"/>
      <c r="G13" s="106" t="s">
        <v>499</v>
      </c>
      <c r="H13" s="106"/>
    </row>
    <row r="14" spans="1:9">
      <c r="B14" s="61" t="s">
        <v>474</v>
      </c>
      <c r="C14" s="61" t="s">
        <v>472</v>
      </c>
      <c r="D14" s="61" t="s">
        <v>516</v>
      </c>
      <c r="G14" s="61" t="s">
        <v>474</v>
      </c>
      <c r="H14" s="61" t="s">
        <v>472</v>
      </c>
      <c r="I14" s="61" t="s">
        <v>516</v>
      </c>
    </row>
    <row r="15" spans="1:9">
      <c r="A15" s="7" t="s">
        <v>520</v>
      </c>
      <c r="B15">
        <v>0</v>
      </c>
      <c r="C15">
        <v>3</v>
      </c>
      <c r="D15">
        <f>SUM(B15:C15)</f>
        <v>3</v>
      </c>
      <c r="F15" s="7" t="s">
        <v>521</v>
      </c>
      <c r="G15">
        <v>1</v>
      </c>
      <c r="H15">
        <v>3</v>
      </c>
      <c r="I15">
        <f>SUM(G15:H15)</f>
        <v>4</v>
      </c>
    </row>
    <row r="16" spans="1:9">
      <c r="A16" s="7" t="s">
        <v>508</v>
      </c>
      <c r="B16">
        <v>0</v>
      </c>
      <c r="C16">
        <v>1</v>
      </c>
      <c r="D16">
        <f>SUM(B16:C16)</f>
        <v>1</v>
      </c>
      <c r="F16" s="7" t="s">
        <v>522</v>
      </c>
      <c r="G16">
        <v>0</v>
      </c>
      <c r="H16">
        <v>1</v>
      </c>
      <c r="I16">
        <f>SUM(G16:H16)</f>
        <v>1</v>
      </c>
    </row>
    <row r="17" spans="1:9">
      <c r="A17" s="7" t="s">
        <v>506</v>
      </c>
      <c r="B17">
        <v>0</v>
      </c>
      <c r="C17">
        <v>1</v>
      </c>
      <c r="D17">
        <f>SUM(B17:C17)</f>
        <v>1</v>
      </c>
      <c r="F17" s="7" t="s">
        <v>478</v>
      </c>
      <c r="G17">
        <v>0</v>
      </c>
      <c r="H17">
        <v>1</v>
      </c>
      <c r="I17">
        <f>SUM(G17:H17)</f>
        <v>1</v>
      </c>
    </row>
    <row r="18" spans="1:9">
      <c r="A18" s="7" t="s">
        <v>488</v>
      </c>
      <c r="B18">
        <v>1</v>
      </c>
      <c r="C18">
        <v>0</v>
      </c>
      <c r="D18">
        <f>SUM(B18:C18)</f>
        <v>1</v>
      </c>
    </row>
    <row r="19" spans="1:9">
      <c r="A19" s="63"/>
      <c r="B19" s="63"/>
      <c r="C19" s="63"/>
      <c r="D19" s="63"/>
      <c r="F19" s="63"/>
      <c r="G19" s="63"/>
      <c r="H19" s="63"/>
      <c r="I19" s="63"/>
    </row>
    <row r="20" spans="1:9">
      <c r="D20" s="9">
        <f>SUM(D15:D19)</f>
        <v>6</v>
      </c>
      <c r="F20" s="55" t="s">
        <v>519</v>
      </c>
      <c r="G20" s="9">
        <f>SUM(G15:G19)</f>
        <v>1</v>
      </c>
      <c r="H20" s="9">
        <f>SUM(H15:H19)</f>
        <v>5</v>
      </c>
      <c r="I20" s="9">
        <f>SUM(I15:I19)</f>
        <v>6</v>
      </c>
    </row>
    <row r="23" spans="1:9">
      <c r="B23" s="106" t="s">
        <v>511</v>
      </c>
      <c r="C23" s="106"/>
      <c r="G23" s="106" t="s">
        <v>511</v>
      </c>
      <c r="H23" s="106"/>
    </row>
    <row r="24" spans="1:9">
      <c r="B24" s="61" t="s">
        <v>474</v>
      </c>
      <c r="C24" s="61" t="s">
        <v>472</v>
      </c>
      <c r="D24" s="61" t="s">
        <v>516</v>
      </c>
      <c r="G24" s="61" t="s">
        <v>474</v>
      </c>
      <c r="H24" s="61" t="s">
        <v>472</v>
      </c>
      <c r="I24" s="61" t="s">
        <v>516</v>
      </c>
    </row>
    <row r="25" spans="1:9">
      <c r="A25" s="7" t="s">
        <v>488</v>
      </c>
      <c r="B25">
        <v>6</v>
      </c>
      <c r="C25">
        <v>0</v>
      </c>
      <c r="D25">
        <f t="shared" ref="D25:D32" si="0">SUM(B25:C25)</f>
        <v>6</v>
      </c>
      <c r="F25" s="7" t="s">
        <v>521</v>
      </c>
      <c r="G25">
        <v>2</v>
      </c>
      <c r="H25">
        <v>2</v>
      </c>
      <c r="I25">
        <f t="shared" ref="I25:I31" si="1">SUM(G25:H25)</f>
        <v>4</v>
      </c>
    </row>
    <row r="26" spans="1:9">
      <c r="A26" s="7" t="s">
        <v>523</v>
      </c>
      <c r="B26">
        <v>1</v>
      </c>
      <c r="C26">
        <v>2</v>
      </c>
      <c r="D26">
        <f t="shared" si="0"/>
        <v>3</v>
      </c>
      <c r="F26" s="7" t="s">
        <v>476</v>
      </c>
      <c r="G26">
        <v>2</v>
      </c>
      <c r="H26">
        <v>2</v>
      </c>
      <c r="I26">
        <f t="shared" si="1"/>
        <v>4</v>
      </c>
    </row>
    <row r="27" spans="1:9">
      <c r="A27" s="7" t="s">
        <v>518</v>
      </c>
      <c r="B27">
        <v>0</v>
      </c>
      <c r="C27">
        <v>2</v>
      </c>
      <c r="D27">
        <f t="shared" si="0"/>
        <v>2</v>
      </c>
      <c r="F27" s="7" t="s">
        <v>502</v>
      </c>
      <c r="G27">
        <v>1</v>
      </c>
      <c r="H27">
        <v>2</v>
      </c>
      <c r="I27">
        <f t="shared" si="1"/>
        <v>3</v>
      </c>
    </row>
    <row r="28" spans="1:9">
      <c r="A28" s="7" t="s">
        <v>524</v>
      </c>
      <c r="B28">
        <v>0</v>
      </c>
      <c r="C28">
        <v>2</v>
      </c>
      <c r="D28">
        <f t="shared" si="0"/>
        <v>2</v>
      </c>
      <c r="F28" s="7" t="s">
        <v>501</v>
      </c>
      <c r="G28">
        <v>1</v>
      </c>
      <c r="H28">
        <v>1</v>
      </c>
      <c r="I28">
        <f t="shared" si="1"/>
        <v>2</v>
      </c>
    </row>
    <row r="29" spans="1:9">
      <c r="A29" s="64" t="s">
        <v>506</v>
      </c>
      <c r="B29" s="63">
        <v>0</v>
      </c>
      <c r="C29" s="63">
        <v>2</v>
      </c>
      <c r="D29" s="63">
        <f t="shared" si="0"/>
        <v>2</v>
      </c>
      <c r="F29" s="64" t="s">
        <v>525</v>
      </c>
      <c r="G29" s="63">
        <v>1</v>
      </c>
      <c r="H29" s="63">
        <v>1</v>
      </c>
      <c r="I29" s="63">
        <f t="shared" si="1"/>
        <v>2</v>
      </c>
    </row>
    <row r="30" spans="1:9">
      <c r="A30" s="7" t="s">
        <v>526</v>
      </c>
      <c r="B30">
        <v>0</v>
      </c>
      <c r="C30">
        <v>1</v>
      </c>
      <c r="D30">
        <f t="shared" si="0"/>
        <v>1</v>
      </c>
      <c r="F30" s="7" t="s">
        <v>488</v>
      </c>
      <c r="G30">
        <v>0</v>
      </c>
      <c r="H30">
        <v>2</v>
      </c>
      <c r="I30">
        <f t="shared" si="1"/>
        <v>2</v>
      </c>
    </row>
    <row r="31" spans="1:9">
      <c r="A31" s="7" t="s">
        <v>510</v>
      </c>
      <c r="B31">
        <v>0</v>
      </c>
      <c r="C31">
        <v>1</v>
      </c>
      <c r="D31">
        <f t="shared" si="0"/>
        <v>1</v>
      </c>
      <c r="F31" s="7" t="s">
        <v>478</v>
      </c>
      <c r="G31">
        <v>0</v>
      </c>
      <c r="H31">
        <v>1</v>
      </c>
      <c r="I31">
        <f t="shared" si="1"/>
        <v>1</v>
      </c>
    </row>
    <row r="32" spans="1:9">
      <c r="A32" s="7" t="s">
        <v>527</v>
      </c>
      <c r="B32">
        <v>0</v>
      </c>
      <c r="C32">
        <v>1</v>
      </c>
      <c r="D32">
        <f t="shared" si="0"/>
        <v>1</v>
      </c>
    </row>
    <row r="33" spans="1:9">
      <c r="A33" s="7"/>
    </row>
    <row r="35" spans="1:9">
      <c r="D35" s="9">
        <f>SUM(D25:D29)</f>
        <v>15</v>
      </c>
      <c r="F35" s="55" t="s">
        <v>519</v>
      </c>
      <c r="G35" s="9">
        <f t="shared" ref="G35:H35" si="2">SUM(G25:G31)</f>
        <v>7</v>
      </c>
      <c r="H35" s="9">
        <f t="shared" si="2"/>
        <v>11</v>
      </c>
      <c r="I35" s="9">
        <f>SUM(I25:I31)</f>
        <v>18</v>
      </c>
    </row>
    <row r="37" spans="1:9">
      <c r="B37" s="106" t="s">
        <v>512</v>
      </c>
      <c r="C37" s="106"/>
      <c r="G37" s="106" t="s">
        <v>512</v>
      </c>
      <c r="H37" s="106"/>
    </row>
    <row r="38" spans="1:9">
      <c r="B38" s="61" t="s">
        <v>474</v>
      </c>
      <c r="C38" s="61" t="s">
        <v>472</v>
      </c>
      <c r="D38" s="61" t="s">
        <v>516</v>
      </c>
      <c r="G38" s="61" t="s">
        <v>474</v>
      </c>
      <c r="H38" s="61" t="s">
        <v>472</v>
      </c>
      <c r="I38" s="61" t="s">
        <v>516</v>
      </c>
    </row>
    <row r="39" spans="1:9">
      <c r="A39" s="7" t="s">
        <v>488</v>
      </c>
      <c r="B39">
        <v>2</v>
      </c>
      <c r="C39">
        <v>1</v>
      </c>
      <c r="D39">
        <f t="shared" ref="D39:D45" si="3">SUM(B39:C39)</f>
        <v>3</v>
      </c>
      <c r="F39" s="7" t="s">
        <v>476</v>
      </c>
      <c r="G39">
        <v>2</v>
      </c>
      <c r="H39">
        <v>5</v>
      </c>
      <c r="I39">
        <f>SUM(G39:H39)</f>
        <v>7</v>
      </c>
    </row>
    <row r="40" spans="1:9">
      <c r="A40" s="7" t="s">
        <v>510</v>
      </c>
      <c r="B40">
        <v>0</v>
      </c>
      <c r="C40">
        <v>2</v>
      </c>
      <c r="D40">
        <f t="shared" si="3"/>
        <v>2</v>
      </c>
      <c r="F40" s="7" t="s">
        <v>501</v>
      </c>
      <c r="G40">
        <v>0</v>
      </c>
      <c r="H40">
        <v>1</v>
      </c>
      <c r="I40">
        <f>SUM(G40:H40)</f>
        <v>1</v>
      </c>
    </row>
    <row r="41" spans="1:9">
      <c r="A41" s="7" t="s">
        <v>523</v>
      </c>
      <c r="B41">
        <v>1</v>
      </c>
      <c r="C41">
        <v>0</v>
      </c>
      <c r="D41">
        <f t="shared" si="3"/>
        <v>1</v>
      </c>
      <c r="F41" s="7" t="s">
        <v>478</v>
      </c>
      <c r="G41">
        <v>1</v>
      </c>
      <c r="H41">
        <v>0</v>
      </c>
      <c r="I41">
        <f>SUM(G41:H41)</f>
        <v>1</v>
      </c>
    </row>
    <row r="42" spans="1:9">
      <c r="A42" s="7" t="s">
        <v>506</v>
      </c>
      <c r="B42">
        <v>0</v>
      </c>
      <c r="C42">
        <v>1</v>
      </c>
      <c r="D42">
        <f t="shared" si="3"/>
        <v>1</v>
      </c>
      <c r="F42" s="7" t="s">
        <v>528</v>
      </c>
      <c r="G42">
        <v>0</v>
      </c>
      <c r="H42">
        <v>1</v>
      </c>
      <c r="I42">
        <f>SUM(G42:H42)</f>
        <v>1</v>
      </c>
    </row>
    <row r="43" spans="1:9">
      <c r="A43" s="64" t="s">
        <v>508</v>
      </c>
      <c r="B43" s="63">
        <v>0</v>
      </c>
      <c r="C43" s="63">
        <v>1</v>
      </c>
      <c r="D43" s="63">
        <f t="shared" si="3"/>
        <v>1</v>
      </c>
      <c r="F43" s="63"/>
      <c r="G43" s="63"/>
      <c r="H43" s="63"/>
      <c r="I43" s="63"/>
    </row>
    <row r="44" spans="1:9">
      <c r="A44" s="7" t="s">
        <v>529</v>
      </c>
      <c r="B44">
        <v>0</v>
      </c>
      <c r="C44">
        <v>1</v>
      </c>
      <c r="D44">
        <f t="shared" si="3"/>
        <v>1</v>
      </c>
    </row>
    <row r="45" spans="1:9">
      <c r="A45" s="7" t="s">
        <v>518</v>
      </c>
      <c r="B45">
        <v>0</v>
      </c>
      <c r="C45">
        <v>1</v>
      </c>
      <c r="D45">
        <f t="shared" si="3"/>
        <v>1</v>
      </c>
    </row>
    <row r="47" spans="1:9">
      <c r="D47" s="9">
        <f>SUM(D39:D43)</f>
        <v>8</v>
      </c>
      <c r="F47" s="55" t="s">
        <v>519</v>
      </c>
      <c r="G47" s="9">
        <f>SUM(G39:G43)</f>
        <v>3</v>
      </c>
      <c r="H47" s="9">
        <f>SUM(H39:H43)</f>
        <v>7</v>
      </c>
      <c r="I47" s="9">
        <f>SUM(I39:I43)</f>
        <v>10</v>
      </c>
    </row>
    <row r="52" spans="1:9">
      <c r="B52" s="106" t="s">
        <v>513</v>
      </c>
      <c r="C52" s="106"/>
      <c r="G52" s="106" t="s">
        <v>513</v>
      </c>
      <c r="H52" s="106"/>
    </row>
    <row r="53" spans="1:9">
      <c r="B53" s="61" t="s">
        <v>474</v>
      </c>
      <c r="C53" s="61" t="s">
        <v>472</v>
      </c>
      <c r="D53" s="61" t="s">
        <v>516</v>
      </c>
      <c r="G53" s="61" t="s">
        <v>474</v>
      </c>
      <c r="H53" s="61" t="s">
        <v>472</v>
      </c>
      <c r="I53" s="61" t="s">
        <v>516</v>
      </c>
    </row>
    <row r="54" spans="1:9">
      <c r="A54" s="7" t="s">
        <v>488</v>
      </c>
      <c r="B54">
        <v>0</v>
      </c>
      <c r="C54">
        <v>2</v>
      </c>
      <c r="D54">
        <f>SUM(B54:C54)</f>
        <v>2</v>
      </c>
      <c r="F54" s="7" t="s">
        <v>488</v>
      </c>
      <c r="G54">
        <v>0</v>
      </c>
      <c r="H54">
        <v>3</v>
      </c>
      <c r="I54">
        <f>SUM(G54:H54)</f>
        <v>3</v>
      </c>
    </row>
    <row r="55" spans="1:9">
      <c r="A55" s="7" t="s">
        <v>518</v>
      </c>
      <c r="B55">
        <v>0</v>
      </c>
      <c r="C55">
        <v>1</v>
      </c>
      <c r="D55">
        <f>SUM(B55:C55)</f>
        <v>1</v>
      </c>
      <c r="F55" s="7" t="s">
        <v>522</v>
      </c>
      <c r="G55">
        <v>0</v>
      </c>
      <c r="H55">
        <v>2</v>
      </c>
      <c r="I55">
        <f>SUM(G55:H55)</f>
        <v>2</v>
      </c>
    </row>
    <row r="56" spans="1:9">
      <c r="A56" s="7" t="s">
        <v>508</v>
      </c>
      <c r="B56">
        <v>0</v>
      </c>
      <c r="C56">
        <v>1</v>
      </c>
      <c r="D56">
        <f>SUM(B56:C56)</f>
        <v>1</v>
      </c>
    </row>
    <row r="57" spans="1:9">
      <c r="A57" s="7" t="s">
        <v>510</v>
      </c>
      <c r="B57">
        <v>0</v>
      </c>
      <c r="C57">
        <v>1</v>
      </c>
      <c r="D57">
        <f>SUM(B57:C57)</f>
        <v>1</v>
      </c>
    </row>
    <row r="58" spans="1:9">
      <c r="A58" s="63"/>
      <c r="B58" s="63"/>
      <c r="C58" s="63"/>
      <c r="D58" s="63"/>
      <c r="F58" s="63"/>
      <c r="G58" s="63"/>
      <c r="H58" s="63"/>
      <c r="I58" s="63"/>
    </row>
    <row r="59" spans="1:9">
      <c r="D59" s="9">
        <f>SUM(D54:D58)</f>
        <v>5</v>
      </c>
      <c r="F59" s="55" t="s">
        <v>519</v>
      </c>
      <c r="G59" s="9">
        <f>SUM(G54:G58)</f>
        <v>0</v>
      </c>
      <c r="H59" s="9">
        <f t="shared" ref="H59:I59" si="4">SUM(H54:H58)</f>
        <v>5</v>
      </c>
      <c r="I59" s="9">
        <f t="shared" si="4"/>
        <v>5</v>
      </c>
    </row>
    <row r="68" spans="6:17">
      <c r="F68" s="106" t="s">
        <v>436</v>
      </c>
      <c r="G68" s="106"/>
      <c r="H68" s="106" t="s">
        <v>499</v>
      </c>
      <c r="I68" s="106"/>
      <c r="J68" s="106" t="s">
        <v>511</v>
      </c>
      <c r="K68" s="106"/>
      <c r="L68" s="106" t="s">
        <v>512</v>
      </c>
      <c r="M68" s="106"/>
      <c r="N68" s="106" t="s">
        <v>513</v>
      </c>
      <c r="O68" s="106"/>
      <c r="P68" s="106" t="s">
        <v>503</v>
      </c>
      <c r="Q68" s="106"/>
    </row>
    <row r="69" spans="6:17">
      <c r="F69" s="61" t="s">
        <v>474</v>
      </c>
      <c r="G69" s="61" t="s">
        <v>472</v>
      </c>
      <c r="H69" s="61" t="s">
        <v>474</v>
      </c>
      <c r="I69" s="61" t="s">
        <v>472</v>
      </c>
      <c r="J69" s="61" t="s">
        <v>474</v>
      </c>
      <c r="K69" s="61" t="s">
        <v>472</v>
      </c>
      <c r="L69" s="61" t="s">
        <v>474</v>
      </c>
      <c r="M69" s="61" t="s">
        <v>472</v>
      </c>
      <c r="N69" s="61" t="s">
        <v>474</v>
      </c>
      <c r="O69" s="61" t="s">
        <v>472</v>
      </c>
      <c r="P69" s="61" t="s">
        <v>474</v>
      </c>
      <c r="Q69" s="61" t="s">
        <v>472</v>
      </c>
    </row>
    <row r="70" spans="6:17">
      <c r="F70" s="7"/>
      <c r="I70">
        <v>1</v>
      </c>
    </row>
    <row r="71" spans="6:17">
      <c r="F71" s="7"/>
      <c r="H71">
        <v>1</v>
      </c>
      <c r="I71">
        <v>3</v>
      </c>
      <c r="J71">
        <v>2</v>
      </c>
      <c r="K71">
        <v>2</v>
      </c>
    </row>
    <row r="72" spans="6:17">
      <c r="F72" s="7"/>
      <c r="J72">
        <v>1</v>
      </c>
      <c r="K72">
        <v>2</v>
      </c>
    </row>
    <row r="73" spans="6:17">
      <c r="F73" s="7"/>
      <c r="G73">
        <v>1</v>
      </c>
      <c r="J73">
        <v>1</v>
      </c>
      <c r="K73">
        <v>1</v>
      </c>
      <c r="M73">
        <v>1</v>
      </c>
    </row>
    <row r="74" spans="6:17">
      <c r="F74" s="7">
        <v>2</v>
      </c>
      <c r="G74">
        <v>1</v>
      </c>
      <c r="I74">
        <v>1</v>
      </c>
      <c r="K74">
        <v>1</v>
      </c>
      <c r="L74">
        <v>1</v>
      </c>
      <c r="O74">
        <v>2</v>
      </c>
    </row>
    <row r="75" spans="6:17">
      <c r="F75" s="7"/>
      <c r="M75">
        <v>1</v>
      </c>
    </row>
    <row r="76" spans="6:17">
      <c r="F76" s="7">
        <v>3</v>
      </c>
      <c r="G76">
        <v>2</v>
      </c>
      <c r="J76">
        <v>2</v>
      </c>
      <c r="K76">
        <v>2</v>
      </c>
      <c r="L76">
        <v>2</v>
      </c>
      <c r="M76">
        <v>5</v>
      </c>
    </row>
    <row r="77" spans="6:17">
      <c r="F77" s="7"/>
      <c r="J77">
        <v>1</v>
      </c>
      <c r="K77">
        <v>1</v>
      </c>
    </row>
    <row r="78" spans="6:17">
      <c r="F78" s="7"/>
      <c r="K78">
        <v>2</v>
      </c>
      <c r="O78">
        <v>3</v>
      </c>
    </row>
    <row r="86" spans="2:4">
      <c r="C86" s="106" t="s">
        <v>513</v>
      </c>
      <c r="D86" s="106"/>
    </row>
    <row r="87" spans="2:4">
      <c r="C87" s="61" t="s">
        <v>474</v>
      </c>
      <c r="D87" s="61" t="s">
        <v>472</v>
      </c>
    </row>
    <row r="88" spans="2:4">
      <c r="B88" s="7" t="s">
        <v>488</v>
      </c>
      <c r="D88">
        <v>3</v>
      </c>
    </row>
    <row r="89" spans="2:4">
      <c r="B89" s="7" t="s">
        <v>522</v>
      </c>
      <c r="D89">
        <v>2</v>
      </c>
    </row>
    <row r="90" spans="2:4">
      <c r="B90" s="7" t="s">
        <v>476</v>
      </c>
    </row>
    <row r="91" spans="2:4">
      <c r="B91" s="7" t="s">
        <v>501</v>
      </c>
    </row>
    <row r="92" spans="2:4">
      <c r="B92" s="7" t="s">
        <v>478</v>
      </c>
    </row>
    <row r="93" spans="2:4">
      <c r="B93" s="7" t="s">
        <v>528</v>
      </c>
    </row>
    <row r="94" spans="2:4">
      <c r="B94" s="7" t="s">
        <v>521</v>
      </c>
    </row>
    <row r="95" spans="2:4">
      <c r="B95" s="7" t="s">
        <v>502</v>
      </c>
    </row>
    <row r="96" spans="2:4">
      <c r="B96" s="7" t="s">
        <v>525</v>
      </c>
    </row>
  </sheetData>
  <autoFilter ref="B87:E87" xr:uid="{0D15FF1A-9FA0-4C45-A0F5-1CACB61D91F6}"/>
  <mergeCells count="17">
    <mergeCell ref="J68:K68"/>
    <mergeCell ref="L68:M68"/>
    <mergeCell ref="N68:O68"/>
    <mergeCell ref="P68:Q68"/>
    <mergeCell ref="C86:D86"/>
    <mergeCell ref="B37:C37"/>
    <mergeCell ref="G37:H37"/>
    <mergeCell ref="B52:C52"/>
    <mergeCell ref="G52:H52"/>
    <mergeCell ref="F68:G68"/>
    <mergeCell ref="H68:I68"/>
    <mergeCell ref="B2:C2"/>
    <mergeCell ref="G2:H2"/>
    <mergeCell ref="B13:C13"/>
    <mergeCell ref="G13:H13"/>
    <mergeCell ref="B23:C23"/>
    <mergeCell ref="G23:H2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18FDD-CAA5-48D6-A9E4-853CC390F44E}">
  <sheetPr codeName="Sheet14">
    <tabColor theme="4" tint="0.79998168889431442"/>
    <pageSetUpPr fitToPage="1"/>
  </sheetPr>
  <dimension ref="A1:Q67"/>
  <sheetViews>
    <sheetView tabSelected="1" zoomScale="130" zoomScaleNormal="130" workbookViewId="0">
      <selection activeCell="D22" sqref="D22:E23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sheet_all SDDR'!C7&amp;")​"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sheet_all SDDR'!H7</f>
        <v>All Scott Davis Direct Reports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sheet_all SDDR'!E7&amp;" Health &amp; Sanitation audits completed"</f>
        <v>178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107" t="str">
        <f>""&amp;'reference sheet_all SDDR'!E23&amp;" VOC responses received"</f>
        <v>4,002 VOC responses received</v>
      </c>
      <c r="G7" s="107"/>
      <c r="H7" s="107"/>
      <c r="I7" s="107"/>
      <c r="J7" s="107"/>
      <c r="K7" s="107"/>
      <c r="L7" s="76"/>
    </row>
    <row r="8" spans="2:17" ht="12.9" customHeight="1">
      <c r="C8" s="76"/>
      <c r="D8" s="76"/>
      <c r="E8" s="76"/>
      <c r="F8" s="78" t="str">
        <f>""&amp;'reference sheet_all SDDR'!E39&amp;" Origami and "&amp;'reference sheet_all SDDR'!E40&amp;"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HYPERLINK(Hyperlinks!B3,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sheet_all SDDR'!E10</f>
        <v>14</v>
      </c>
      <c r="H14" s="18"/>
      <c r="I14" s="84" t="str">
        <f>'reference sheet_all SDDR'!E18</f>
        <v>32</v>
      </c>
      <c r="J14" s="16"/>
      <c r="K14" s="16"/>
      <c r="L14" s="16"/>
    </row>
    <row r="15" spans="2:17" ht="15.6" customHeight="1">
      <c r="C15" s="16"/>
      <c r="D15" s="89" t="str">
        <f>'reference sheet_all SDDR'!E7</f>
        <v>178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sheet_all SDDR'!E11*100),0)&amp;"%"</f>
        <v>8%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sheet_all SDDR'!E22</f>
        <v>11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sheet_all SDDR'!E9)*0.01</f>
        <v>0.95720000000000005</v>
      </c>
      <c r="E20" s="83"/>
      <c r="F20" s="16"/>
      <c r="G20" s="84" t="str">
        <f>'reference sheet_all SDDR'!E14</f>
        <v>152</v>
      </c>
      <c r="H20" s="13"/>
      <c r="I20" s="84" t="str">
        <f>""&amp;ROUND('reference sheet_all SDDR'!E15,1)&amp;""</f>
        <v>3.5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108" t="s">
        <v>530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6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sheet_all SDDR'!E24</f>
        <v>1,894</v>
      </c>
      <c r="E28" s="93"/>
      <c r="G28" s="87" t="str">
        <f>HYPERLINK(Hyperlinks!B2,"AI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sheet_all SDDR'!E28*100),0)&amp;"%"</f>
        <v>23%</v>
      </c>
      <c r="E31" s="26" t="str">
        <f>"Positive ("&amp;ROUND('reference sheet_all SDDR'!E25,0)&amp;")"</f>
        <v>Positive (431)</v>
      </c>
      <c r="H31" s="95" t="str">
        <f>'reference sheet_all SDDR'!E34</f>
        <v>645</v>
      </c>
      <c r="I31" s="95"/>
      <c r="J31" s="95"/>
      <c r="K31" s="95"/>
      <c r="L31" s="95"/>
    </row>
    <row r="32" spans="3:17" ht="12" customHeight="1">
      <c r="D32" s="27" t="str">
        <f>""&amp;ROUND(('reference sheet_all SDDR'!E30*100),0)&amp;"%"</f>
        <v>25%</v>
      </c>
      <c r="E32" s="26" t="str">
        <f>"Neutral ("&amp;ROUND('reference sheet_all SDDR'!E27,0)&amp;")"</f>
        <v>Neutral (475)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sheet_all SDDR'!E29*100),0)&amp;"%"</f>
        <v>52%</v>
      </c>
      <c r="E33" s="26" t="str">
        <f>"Negative ("&amp;ROUND('reference sheet_all SDDR'!E26,0)&amp;")"</f>
        <v>Negative (987)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sheet_all SDDR'!E35*100),0)&amp;"%"</f>
        <v>85%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sheet_all SDDR'!E36</f>
        <v>0</v>
      </c>
      <c r="I38" s="90"/>
      <c r="K38" s="90" t="str">
        <f>'reference sheet_all SDDR'!E37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HYPERLINK(Hyperlinks!B4,"ORIGAMI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D17:E18"/>
    <mergeCell ref="K18:K20"/>
    <mergeCell ref="D20:E21"/>
    <mergeCell ref="K21:K22"/>
    <mergeCell ref="K16:K17"/>
    <mergeCell ref="I16:I18"/>
    <mergeCell ref="I22:I24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8CC90-5200-48AD-8D87-7428F741F646}">
  <sheetPr>
    <tabColor rgb="FF00B050"/>
  </sheetPr>
  <dimension ref="A1:P35"/>
  <sheetViews>
    <sheetView zoomScale="130" zoomScaleNormal="130" workbookViewId="0">
      <selection activeCell="A7" sqref="A7"/>
    </sheetView>
  </sheetViews>
  <sheetFormatPr defaultRowHeight="14.4"/>
  <cols>
    <col min="1" max="1" width="14.44140625" customWidth="1"/>
    <col min="2" max="13" width="8.6640625" customWidth="1"/>
    <col min="14" max="14" width="12.5546875" bestFit="1" customWidth="1"/>
    <col min="15" max="15" width="9.88671875" bestFit="1" customWidth="1"/>
    <col min="16" max="16" width="13.109375" bestFit="1" customWidth="1"/>
  </cols>
  <sheetData>
    <row r="1" spans="1:16" ht="15" thickBot="1">
      <c r="A1" s="60" t="s">
        <v>514</v>
      </c>
    </row>
    <row r="3" spans="1:16">
      <c r="B3" s="106" t="s">
        <v>436</v>
      </c>
      <c r="C3" s="106"/>
      <c r="D3" s="106" t="s">
        <v>499</v>
      </c>
      <c r="E3" s="106"/>
      <c r="F3" s="106" t="s">
        <v>511</v>
      </c>
      <c r="G3" s="106"/>
      <c r="H3" s="106" t="s">
        <v>512</v>
      </c>
      <c r="I3" s="106"/>
      <c r="J3" s="106" t="s">
        <v>513</v>
      </c>
      <c r="K3" s="106"/>
      <c r="L3" s="106" t="s">
        <v>503</v>
      </c>
      <c r="M3" s="106"/>
      <c r="N3" s="109" t="s">
        <v>516</v>
      </c>
      <c r="O3" s="109"/>
    </row>
    <row r="4" spans="1:16">
      <c r="B4" s="61" t="s">
        <v>474</v>
      </c>
      <c r="C4" s="61" t="s">
        <v>472</v>
      </c>
      <c r="D4" s="61" t="s">
        <v>474</v>
      </c>
      <c r="E4" s="61" t="s">
        <v>472</v>
      </c>
      <c r="F4" s="61" t="s">
        <v>474</v>
      </c>
      <c r="G4" s="61" t="s">
        <v>472</v>
      </c>
      <c r="H4" s="61" t="s">
        <v>474</v>
      </c>
      <c r="I4" s="61" t="s">
        <v>472</v>
      </c>
      <c r="J4" s="61" t="s">
        <v>474</v>
      </c>
      <c r="K4" s="61" t="s">
        <v>472</v>
      </c>
      <c r="L4" s="61" t="s">
        <v>474</v>
      </c>
      <c r="M4" s="61" t="s">
        <v>472</v>
      </c>
      <c r="N4" s="61" t="s">
        <v>474</v>
      </c>
      <c r="O4" s="61" t="s">
        <v>472</v>
      </c>
      <c r="P4" s="61" t="s">
        <v>516</v>
      </c>
    </row>
    <row r="5" spans="1:16">
      <c r="A5" s="7" t="s">
        <v>488</v>
      </c>
      <c r="B5" s="7">
        <v>3</v>
      </c>
      <c r="D5">
        <v>1</v>
      </c>
      <c r="F5">
        <v>6</v>
      </c>
      <c r="H5">
        <v>2</v>
      </c>
      <c r="I5">
        <v>1</v>
      </c>
      <c r="K5">
        <v>2</v>
      </c>
      <c r="N5">
        <v>12</v>
      </c>
      <c r="O5">
        <v>3</v>
      </c>
      <c r="P5">
        <f t="shared" ref="P5:P17" si="0">SUM(N5:O5)</f>
        <v>15</v>
      </c>
    </row>
    <row r="6" spans="1:16">
      <c r="A6" s="7" t="s">
        <v>518</v>
      </c>
      <c r="B6" s="7"/>
      <c r="C6">
        <v>1</v>
      </c>
      <c r="G6">
        <v>2</v>
      </c>
      <c r="I6">
        <v>1</v>
      </c>
      <c r="K6">
        <v>1</v>
      </c>
      <c r="N6">
        <v>0</v>
      </c>
      <c r="O6">
        <v>5</v>
      </c>
      <c r="P6">
        <f t="shared" si="0"/>
        <v>5</v>
      </c>
    </row>
    <row r="7" spans="1:16">
      <c r="A7" s="7" t="s">
        <v>506</v>
      </c>
      <c r="B7" s="7"/>
      <c r="C7">
        <v>1</v>
      </c>
      <c r="E7">
        <v>1</v>
      </c>
      <c r="G7">
        <v>2</v>
      </c>
      <c r="I7">
        <v>1</v>
      </c>
      <c r="N7">
        <v>0</v>
      </c>
      <c r="O7">
        <v>5</v>
      </c>
      <c r="P7">
        <f t="shared" si="0"/>
        <v>5</v>
      </c>
    </row>
    <row r="8" spans="1:16">
      <c r="A8" s="7" t="s">
        <v>523</v>
      </c>
      <c r="B8" s="7"/>
      <c r="F8">
        <v>1</v>
      </c>
      <c r="G8">
        <v>2</v>
      </c>
      <c r="H8">
        <v>1</v>
      </c>
      <c r="N8">
        <v>2</v>
      </c>
      <c r="O8">
        <v>2</v>
      </c>
      <c r="P8">
        <f t="shared" si="0"/>
        <v>4</v>
      </c>
    </row>
    <row r="9" spans="1:16">
      <c r="A9" s="64" t="s">
        <v>510</v>
      </c>
      <c r="B9" s="64"/>
      <c r="C9" s="63"/>
      <c r="D9" s="63"/>
      <c r="E9" s="63"/>
      <c r="F9" s="63"/>
      <c r="G9" s="63">
        <v>1</v>
      </c>
      <c r="H9" s="63"/>
      <c r="I9" s="63">
        <v>2</v>
      </c>
      <c r="J9" s="63"/>
      <c r="K9" s="63">
        <v>1</v>
      </c>
      <c r="L9" s="63"/>
      <c r="M9" s="63"/>
      <c r="N9" s="63">
        <v>0</v>
      </c>
      <c r="O9" s="63">
        <v>4</v>
      </c>
      <c r="P9" s="63">
        <f t="shared" si="0"/>
        <v>4</v>
      </c>
    </row>
    <row r="10" spans="1:16">
      <c r="A10" s="7" t="s">
        <v>520</v>
      </c>
      <c r="B10" s="7"/>
      <c r="E10">
        <v>3</v>
      </c>
      <c r="N10">
        <v>0</v>
      </c>
      <c r="O10">
        <v>3</v>
      </c>
      <c r="P10">
        <f t="shared" si="0"/>
        <v>3</v>
      </c>
    </row>
    <row r="11" spans="1:16">
      <c r="A11" s="7" t="s">
        <v>508</v>
      </c>
      <c r="B11" s="7"/>
      <c r="E11">
        <v>1</v>
      </c>
      <c r="I11">
        <v>1</v>
      </c>
      <c r="K11">
        <v>1</v>
      </c>
      <c r="N11">
        <v>0</v>
      </c>
      <c r="O11">
        <v>3</v>
      </c>
      <c r="P11">
        <f t="shared" si="0"/>
        <v>3</v>
      </c>
    </row>
    <row r="12" spans="1:16">
      <c r="A12" s="7" t="s">
        <v>517</v>
      </c>
      <c r="B12" s="7">
        <v>1</v>
      </c>
      <c r="C12">
        <v>1</v>
      </c>
      <c r="N12">
        <v>1</v>
      </c>
      <c r="O12">
        <v>1</v>
      </c>
      <c r="P12">
        <f t="shared" si="0"/>
        <v>2</v>
      </c>
    </row>
    <row r="13" spans="1:16">
      <c r="A13" s="7" t="s">
        <v>490</v>
      </c>
      <c r="B13" s="7">
        <v>1</v>
      </c>
      <c r="C13">
        <v>1</v>
      </c>
      <c r="N13">
        <v>1</v>
      </c>
      <c r="O13">
        <v>1</v>
      </c>
      <c r="P13">
        <f t="shared" si="0"/>
        <v>2</v>
      </c>
    </row>
    <row r="14" spans="1:16">
      <c r="A14" s="7" t="s">
        <v>524</v>
      </c>
      <c r="B14" s="7"/>
      <c r="G14">
        <v>2</v>
      </c>
      <c r="N14">
        <v>0</v>
      </c>
      <c r="O14">
        <v>2</v>
      </c>
      <c r="P14">
        <f t="shared" si="0"/>
        <v>2</v>
      </c>
    </row>
    <row r="15" spans="1:16">
      <c r="A15" s="7" t="s">
        <v>526</v>
      </c>
      <c r="B15" s="7"/>
      <c r="G15">
        <v>1</v>
      </c>
      <c r="N15">
        <v>0</v>
      </c>
      <c r="O15">
        <v>1</v>
      </c>
      <c r="P15">
        <f t="shared" si="0"/>
        <v>1</v>
      </c>
    </row>
    <row r="16" spans="1:16">
      <c r="A16" s="7" t="s">
        <v>527</v>
      </c>
      <c r="B16" s="7"/>
      <c r="G16">
        <v>1</v>
      </c>
      <c r="N16">
        <v>0</v>
      </c>
      <c r="O16">
        <v>1</v>
      </c>
      <c r="P16">
        <f t="shared" si="0"/>
        <v>1</v>
      </c>
    </row>
    <row r="17" spans="1:16">
      <c r="A17" s="7" t="s">
        <v>529</v>
      </c>
      <c r="B17" s="7"/>
      <c r="I17">
        <v>1</v>
      </c>
      <c r="N17">
        <v>0</v>
      </c>
      <c r="O17">
        <v>1</v>
      </c>
      <c r="P17">
        <f t="shared" si="0"/>
        <v>1</v>
      </c>
    </row>
    <row r="19" spans="1:16">
      <c r="A19" s="55" t="s">
        <v>531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>
        <f>SUM(N5:N17)</f>
        <v>16</v>
      </c>
      <c r="O19" s="9">
        <f>SUM(O5:O17)</f>
        <v>32</v>
      </c>
      <c r="P19" s="9">
        <f>SUM(P5:P17)</f>
        <v>48</v>
      </c>
    </row>
    <row r="21" spans="1:16" ht="15" thickBot="1">
      <c r="A21" s="60" t="s">
        <v>515</v>
      </c>
    </row>
    <row r="23" spans="1:16">
      <c r="B23" s="106" t="s">
        <v>436</v>
      </c>
      <c r="C23" s="106"/>
      <c r="D23" s="106" t="s">
        <v>499</v>
      </c>
      <c r="E23" s="106"/>
      <c r="F23" s="106" t="s">
        <v>511</v>
      </c>
      <c r="G23" s="106"/>
      <c r="H23" s="106" t="s">
        <v>512</v>
      </c>
      <c r="I23" s="106"/>
      <c r="J23" s="106" t="s">
        <v>513</v>
      </c>
      <c r="K23" s="106"/>
      <c r="L23" s="106" t="s">
        <v>503</v>
      </c>
      <c r="M23" s="106"/>
      <c r="N23" s="109" t="s">
        <v>516</v>
      </c>
      <c r="O23" s="109"/>
    </row>
    <row r="24" spans="1:16">
      <c r="B24" s="61" t="s">
        <v>474</v>
      </c>
      <c r="C24" s="61" t="s">
        <v>472</v>
      </c>
      <c r="D24" s="61" t="s">
        <v>474</v>
      </c>
      <c r="E24" s="61" t="s">
        <v>472</v>
      </c>
      <c r="F24" s="61" t="s">
        <v>474</v>
      </c>
      <c r="G24" s="61" t="s">
        <v>472</v>
      </c>
      <c r="H24" s="61" t="s">
        <v>474</v>
      </c>
      <c r="I24" s="61" t="s">
        <v>472</v>
      </c>
      <c r="J24" s="61" t="s">
        <v>474</v>
      </c>
      <c r="K24" s="61" t="s">
        <v>472</v>
      </c>
      <c r="L24" s="61" t="s">
        <v>474</v>
      </c>
      <c r="M24" s="61" t="s">
        <v>472</v>
      </c>
      <c r="N24" s="61" t="s">
        <v>474</v>
      </c>
      <c r="O24" s="61" t="s">
        <v>472</v>
      </c>
      <c r="P24" s="62" t="s">
        <v>516</v>
      </c>
    </row>
    <row r="25" spans="1:16">
      <c r="A25" s="7" t="s">
        <v>476</v>
      </c>
      <c r="B25" s="7">
        <v>3</v>
      </c>
      <c r="C25">
        <v>2</v>
      </c>
      <c r="F25">
        <v>2</v>
      </c>
      <c r="G25">
        <v>2</v>
      </c>
      <c r="H25">
        <v>2</v>
      </c>
      <c r="I25">
        <v>5</v>
      </c>
      <c r="N25">
        <v>7</v>
      </c>
      <c r="O25">
        <v>9</v>
      </c>
      <c r="P25">
        <f t="shared" ref="P25:P33" si="1">SUM(N25:O25)</f>
        <v>16</v>
      </c>
    </row>
    <row r="26" spans="1:16">
      <c r="A26" s="7" t="s">
        <v>521</v>
      </c>
      <c r="B26" s="7"/>
      <c r="D26">
        <v>1</v>
      </c>
      <c r="E26">
        <v>3</v>
      </c>
      <c r="F26">
        <v>2</v>
      </c>
      <c r="G26">
        <v>2</v>
      </c>
      <c r="N26">
        <v>3</v>
      </c>
      <c r="O26">
        <v>5</v>
      </c>
      <c r="P26">
        <f t="shared" si="1"/>
        <v>8</v>
      </c>
    </row>
    <row r="27" spans="1:16">
      <c r="A27" s="7" t="s">
        <v>478</v>
      </c>
      <c r="B27" s="7">
        <v>2</v>
      </c>
      <c r="C27">
        <v>1</v>
      </c>
      <c r="E27">
        <v>1</v>
      </c>
      <c r="G27">
        <v>1</v>
      </c>
      <c r="H27">
        <v>1</v>
      </c>
      <c r="K27">
        <v>2</v>
      </c>
      <c r="N27">
        <v>3</v>
      </c>
      <c r="O27">
        <v>5</v>
      </c>
      <c r="P27">
        <f t="shared" si="1"/>
        <v>8</v>
      </c>
    </row>
    <row r="28" spans="1:16">
      <c r="A28" s="7" t="s">
        <v>488</v>
      </c>
      <c r="B28" s="7"/>
      <c r="G28">
        <v>2</v>
      </c>
      <c r="K28">
        <v>3</v>
      </c>
      <c r="N28">
        <v>0</v>
      </c>
      <c r="O28">
        <v>5</v>
      </c>
      <c r="P28">
        <f t="shared" si="1"/>
        <v>5</v>
      </c>
    </row>
    <row r="29" spans="1:16">
      <c r="A29" s="64" t="s">
        <v>501</v>
      </c>
      <c r="B29" s="64"/>
      <c r="C29" s="63">
        <v>1</v>
      </c>
      <c r="D29" s="63"/>
      <c r="E29" s="63"/>
      <c r="F29" s="63">
        <v>1</v>
      </c>
      <c r="G29" s="63">
        <v>1</v>
      </c>
      <c r="H29" s="63"/>
      <c r="I29" s="63">
        <v>1</v>
      </c>
      <c r="J29" s="63"/>
      <c r="K29" s="63"/>
      <c r="L29" s="63"/>
      <c r="M29" s="63"/>
      <c r="N29" s="63">
        <v>1</v>
      </c>
      <c r="O29" s="63">
        <v>3</v>
      </c>
      <c r="P29" s="63">
        <f t="shared" si="1"/>
        <v>4</v>
      </c>
    </row>
    <row r="30" spans="1:16">
      <c r="A30" s="7" t="s">
        <v>502</v>
      </c>
      <c r="B30" s="7"/>
      <c r="F30">
        <v>1</v>
      </c>
      <c r="G30">
        <v>2</v>
      </c>
      <c r="N30">
        <v>1</v>
      </c>
      <c r="O30">
        <v>2</v>
      </c>
      <c r="P30">
        <f t="shared" si="1"/>
        <v>3</v>
      </c>
    </row>
    <row r="31" spans="1:16">
      <c r="A31" s="7" t="s">
        <v>525</v>
      </c>
      <c r="B31" s="7"/>
      <c r="F31">
        <v>1</v>
      </c>
      <c r="G31">
        <v>1</v>
      </c>
      <c r="N31">
        <v>1</v>
      </c>
      <c r="O31">
        <v>1</v>
      </c>
      <c r="P31">
        <f t="shared" si="1"/>
        <v>2</v>
      </c>
    </row>
    <row r="32" spans="1:16">
      <c r="A32" s="7" t="s">
        <v>522</v>
      </c>
      <c r="B32" s="7"/>
      <c r="E32">
        <v>1</v>
      </c>
      <c r="N32">
        <v>0</v>
      </c>
      <c r="O32">
        <v>1</v>
      </c>
      <c r="P32">
        <f t="shared" si="1"/>
        <v>1</v>
      </c>
    </row>
    <row r="33" spans="1:16">
      <c r="A33" s="7" t="s">
        <v>528</v>
      </c>
      <c r="B33" s="7"/>
      <c r="I33">
        <v>1</v>
      </c>
      <c r="N33">
        <v>0</v>
      </c>
      <c r="O33">
        <v>1</v>
      </c>
      <c r="P33">
        <f t="shared" si="1"/>
        <v>1</v>
      </c>
    </row>
    <row r="35" spans="1:16">
      <c r="A35" s="55" t="s">
        <v>531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>
        <f>SUM(N25:N33)</f>
        <v>16</v>
      </c>
      <c r="O35" s="9">
        <f>SUM(O25:O33)</f>
        <v>32</v>
      </c>
      <c r="P35" s="9">
        <f>SUM(P25:P33)</f>
        <v>48</v>
      </c>
    </row>
  </sheetData>
  <autoFilter ref="A4:P4" xr:uid="{272D4316-16BD-4A6C-9152-788C1FAF2DA7}">
    <sortState xmlns:xlrd2="http://schemas.microsoft.com/office/spreadsheetml/2017/richdata2" ref="A5:P17">
      <sortCondition descending="1" ref="P4"/>
    </sortState>
  </autoFilter>
  <mergeCells count="14">
    <mergeCell ref="N3:O3"/>
    <mergeCell ref="B23:C23"/>
    <mergeCell ref="D23:E23"/>
    <mergeCell ref="F23:G23"/>
    <mergeCell ref="H23:I23"/>
    <mergeCell ref="J23:K23"/>
    <mergeCell ref="L23:M23"/>
    <mergeCell ref="N23:O23"/>
    <mergeCell ref="B3:C3"/>
    <mergeCell ref="D3:E3"/>
    <mergeCell ref="F3:G3"/>
    <mergeCell ref="H3:I3"/>
    <mergeCell ref="J3:K3"/>
    <mergeCell ref="L3:M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25CA5-C2F5-4497-8E7E-916017578816}">
  <sheetPr>
    <tabColor rgb="FF00B050"/>
  </sheetPr>
  <dimension ref="A2:I60"/>
  <sheetViews>
    <sheetView zoomScale="115" zoomScaleNormal="115" workbookViewId="0">
      <selection activeCell="E11" sqref="E11"/>
    </sheetView>
  </sheetViews>
  <sheetFormatPr defaultRowHeight="14.4"/>
  <cols>
    <col min="1" max="1" width="50.5546875" bestFit="1" customWidth="1"/>
    <col min="2" max="2" width="9.5546875" bestFit="1" customWidth="1"/>
    <col min="3" max="3" width="8.33203125" customWidth="1"/>
    <col min="4" max="4" width="3.88671875" bestFit="1" customWidth="1"/>
    <col min="5" max="5" width="9.5546875" bestFit="1" customWidth="1"/>
    <col min="6" max="6" width="15.44140625" bestFit="1" customWidth="1"/>
    <col min="8" max="8" width="24.88671875" bestFit="1" customWidth="1"/>
    <col min="9" max="9" width="11.6640625" customWidth="1"/>
  </cols>
  <sheetData>
    <row r="2" spans="1:9" ht="21">
      <c r="B2" s="35" t="s">
        <v>532</v>
      </c>
    </row>
    <row r="3" spans="1:9">
      <c r="B3" s="36" t="s">
        <v>425</v>
      </c>
    </row>
    <row r="4" spans="1:9">
      <c r="B4" s="36" t="s">
        <v>426</v>
      </c>
    </row>
    <row r="5" spans="1:9">
      <c r="B5" s="36"/>
    </row>
    <row r="6" spans="1:9">
      <c r="A6" s="40" t="s">
        <v>427</v>
      </c>
      <c r="B6" s="34" t="s">
        <v>428</v>
      </c>
      <c r="C6" s="34" t="s">
        <v>430</v>
      </c>
      <c r="D6" s="34" t="s">
        <v>431</v>
      </c>
      <c r="E6" s="34" t="s">
        <v>432</v>
      </c>
      <c r="F6" s="34" t="s">
        <v>433</v>
      </c>
      <c r="G6" s="33"/>
      <c r="H6" s="40" t="s">
        <v>429</v>
      </c>
      <c r="I6" s="40" t="s">
        <v>434</v>
      </c>
    </row>
    <row r="7" spans="1:9">
      <c r="A7" s="58" t="s">
        <v>435</v>
      </c>
      <c r="B7">
        <v>1</v>
      </c>
      <c r="C7">
        <v>2024</v>
      </c>
      <c r="D7">
        <v>9</v>
      </c>
      <c r="E7" s="74" t="str">
        <f>"178"</f>
        <v>178</v>
      </c>
      <c r="G7" s="33"/>
      <c r="H7" s="7" t="s">
        <v>533</v>
      </c>
      <c r="I7" s="7" t="s">
        <v>437</v>
      </c>
    </row>
    <row r="8" spans="1:9">
      <c r="A8" s="58" t="s">
        <v>438</v>
      </c>
      <c r="B8">
        <v>2</v>
      </c>
      <c r="C8">
        <v>2024</v>
      </c>
      <c r="D8">
        <v>9</v>
      </c>
      <c r="E8" s="74" t="str">
        <f>"175"</f>
        <v>175</v>
      </c>
      <c r="G8" s="33"/>
    </row>
    <row r="9" spans="1:9">
      <c r="A9" s="58" t="s">
        <v>439</v>
      </c>
      <c r="B9">
        <v>3</v>
      </c>
      <c r="C9">
        <v>2024</v>
      </c>
      <c r="D9">
        <v>9</v>
      </c>
      <c r="E9" s="75" t="str">
        <f>"95.72"</f>
        <v>95.72</v>
      </c>
      <c r="G9" s="33"/>
    </row>
    <row r="10" spans="1:9">
      <c r="A10" s="58" t="s">
        <v>440</v>
      </c>
      <c r="B10">
        <v>4</v>
      </c>
      <c r="C10">
        <v>2024</v>
      </c>
      <c r="D10">
        <v>9</v>
      </c>
      <c r="E10" s="74" t="str">
        <f>"14"</f>
        <v>14</v>
      </c>
      <c r="G10" s="33"/>
    </row>
    <row r="11" spans="1:9">
      <c r="A11" s="58" t="s">
        <v>441</v>
      </c>
      <c r="B11">
        <v>5</v>
      </c>
      <c r="C11">
        <v>2024</v>
      </c>
      <c r="D11">
        <v>9</v>
      </c>
      <c r="E11" s="75" t="str">
        <f>"0.08"</f>
        <v>0.08</v>
      </c>
      <c r="G11" s="33"/>
    </row>
    <row r="12" spans="1:9">
      <c r="A12" s="58" t="s">
        <v>442</v>
      </c>
      <c r="B12">
        <v>6</v>
      </c>
      <c r="C12">
        <v>2024</v>
      </c>
      <c r="D12">
        <v>9</v>
      </c>
      <c r="E12" s="74" t="str">
        <f>"661"</f>
        <v>661</v>
      </c>
      <c r="G12" s="33"/>
    </row>
    <row r="13" spans="1:9">
      <c r="A13" s="58" t="s">
        <v>443</v>
      </c>
      <c r="B13">
        <v>7</v>
      </c>
      <c r="C13">
        <v>2024</v>
      </c>
      <c r="D13">
        <v>9</v>
      </c>
      <c r="E13" s="75" t="str">
        <f>"2.7"</f>
        <v>2.7</v>
      </c>
      <c r="G13" s="33"/>
    </row>
    <row r="14" spans="1:9">
      <c r="A14" s="58" t="s">
        <v>444</v>
      </c>
      <c r="B14">
        <v>8</v>
      </c>
      <c r="C14">
        <v>2024</v>
      </c>
      <c r="D14">
        <v>9</v>
      </c>
      <c r="E14" s="74" t="str">
        <f>"152"</f>
        <v>152</v>
      </c>
      <c r="G14" s="33"/>
    </row>
    <row r="15" spans="1:9">
      <c r="A15" s="58" t="s">
        <v>445</v>
      </c>
      <c r="B15">
        <v>9</v>
      </c>
      <c r="C15">
        <v>2024</v>
      </c>
      <c r="D15">
        <v>9</v>
      </c>
      <c r="E15" s="75" t="str">
        <f>"3.47"</f>
        <v>3.47</v>
      </c>
      <c r="G15" s="33"/>
    </row>
    <row r="16" spans="1:9">
      <c r="A16" s="58" t="s">
        <v>446</v>
      </c>
      <c r="B16">
        <v>10</v>
      </c>
      <c r="C16">
        <v>2024</v>
      </c>
      <c r="D16">
        <v>9</v>
      </c>
      <c r="E16" s="74" t="str">
        <f>"7"</f>
        <v>7</v>
      </c>
      <c r="G16" s="33"/>
    </row>
    <row r="17" spans="1:7">
      <c r="A17" s="58" t="s">
        <v>447</v>
      </c>
      <c r="B17">
        <v>11</v>
      </c>
      <c r="C17">
        <v>2024</v>
      </c>
      <c r="D17">
        <v>9</v>
      </c>
      <c r="E17" s="74" t="str">
        <f>"4"</f>
        <v>4</v>
      </c>
      <c r="G17" s="33"/>
    </row>
    <row r="18" spans="1:7">
      <c r="A18" s="58" t="s">
        <v>448</v>
      </c>
      <c r="B18">
        <v>12</v>
      </c>
      <c r="C18">
        <v>2024</v>
      </c>
      <c r="D18">
        <v>9</v>
      </c>
      <c r="E18" s="74" t="str">
        <f>"32"</f>
        <v>32</v>
      </c>
      <c r="G18" s="33"/>
    </row>
    <row r="19" spans="1:7">
      <c r="A19" s="58" t="s">
        <v>449</v>
      </c>
      <c r="B19">
        <v>13</v>
      </c>
      <c r="C19">
        <v>2024</v>
      </c>
      <c r="D19">
        <v>9</v>
      </c>
      <c r="E19" s="74" t="str">
        <f>"49"</f>
        <v>49</v>
      </c>
      <c r="G19" s="33"/>
    </row>
    <row r="20" spans="1:7">
      <c r="A20" s="58" t="s">
        <v>450</v>
      </c>
      <c r="B20">
        <v>14</v>
      </c>
      <c r="C20">
        <v>2024</v>
      </c>
      <c r="D20">
        <v>9</v>
      </c>
      <c r="E20" s="74" t="str">
        <f>"15"</f>
        <v>15</v>
      </c>
      <c r="G20" s="33"/>
    </row>
    <row r="21" spans="1:7">
      <c r="A21" s="58" t="s">
        <v>451</v>
      </c>
      <c r="B21">
        <v>15</v>
      </c>
      <c r="C21">
        <v>2024</v>
      </c>
      <c r="D21">
        <v>9</v>
      </c>
      <c r="E21" s="74" t="str">
        <f>"42"</f>
        <v>42</v>
      </c>
      <c r="G21" s="33"/>
    </row>
    <row r="22" spans="1:7">
      <c r="A22" s="58" t="s">
        <v>452</v>
      </c>
      <c r="B22">
        <v>16</v>
      </c>
      <c r="C22">
        <v>2024</v>
      </c>
      <c r="D22">
        <v>9</v>
      </c>
      <c r="E22" s="74" t="str">
        <f>"11"</f>
        <v>11</v>
      </c>
      <c r="G22" s="33"/>
    </row>
    <row r="23" spans="1:7">
      <c r="A23" s="58" t="s">
        <v>453</v>
      </c>
      <c r="B23">
        <v>17</v>
      </c>
      <c r="C23">
        <v>2024</v>
      </c>
      <c r="D23">
        <v>9</v>
      </c>
      <c r="E23" s="74" t="str">
        <f>"4,002"</f>
        <v>4,002</v>
      </c>
      <c r="G23" s="33"/>
    </row>
    <row r="24" spans="1:7">
      <c r="A24" s="58" t="s">
        <v>10</v>
      </c>
      <c r="B24">
        <v>18</v>
      </c>
      <c r="C24">
        <v>2024</v>
      </c>
      <c r="D24">
        <v>9</v>
      </c>
      <c r="E24" s="74" t="str">
        <f>"1,894"</f>
        <v>1,894</v>
      </c>
      <c r="G24" s="33"/>
    </row>
    <row r="25" spans="1:7">
      <c r="A25" s="58" t="s">
        <v>454</v>
      </c>
      <c r="B25">
        <v>19</v>
      </c>
      <c r="C25">
        <v>2024</v>
      </c>
      <c r="D25">
        <v>9</v>
      </c>
      <c r="E25" s="74" t="str">
        <f>"431"</f>
        <v>431</v>
      </c>
      <c r="G25" s="33"/>
    </row>
    <row r="26" spans="1:7">
      <c r="A26" s="58" t="s">
        <v>455</v>
      </c>
      <c r="B26">
        <v>20</v>
      </c>
      <c r="C26">
        <v>2024</v>
      </c>
      <c r="D26">
        <v>9</v>
      </c>
      <c r="E26" s="74" t="str">
        <f>"987"</f>
        <v>987</v>
      </c>
      <c r="G26" s="33"/>
    </row>
    <row r="27" spans="1:7">
      <c r="A27" s="58" t="s">
        <v>456</v>
      </c>
      <c r="B27">
        <v>21</v>
      </c>
      <c r="C27">
        <v>2024</v>
      </c>
      <c r="D27">
        <v>9</v>
      </c>
      <c r="E27" s="74" t="str">
        <f>"475"</f>
        <v>475</v>
      </c>
      <c r="G27" s="33"/>
    </row>
    <row r="28" spans="1:7">
      <c r="A28" s="58" t="s">
        <v>457</v>
      </c>
      <c r="B28">
        <v>22</v>
      </c>
      <c r="C28">
        <v>2024</v>
      </c>
      <c r="D28">
        <v>9</v>
      </c>
      <c r="E28" s="75" t="str">
        <f>"0.227561"</f>
        <v>0.227561</v>
      </c>
      <c r="G28" s="33"/>
    </row>
    <row r="29" spans="1:7">
      <c r="A29" s="58" t="s">
        <v>458</v>
      </c>
      <c r="B29">
        <v>23</v>
      </c>
      <c r="C29">
        <v>2024</v>
      </c>
      <c r="D29">
        <v>9</v>
      </c>
      <c r="E29" s="75" t="str">
        <f>"0.521119"</f>
        <v>0.521119</v>
      </c>
      <c r="G29" s="33"/>
    </row>
    <row r="30" spans="1:7">
      <c r="A30" s="58" t="s">
        <v>459</v>
      </c>
      <c r="B30">
        <v>24</v>
      </c>
      <c r="C30">
        <v>2024</v>
      </c>
      <c r="D30">
        <v>9</v>
      </c>
      <c r="E30" s="75" t="str">
        <f>"0.250792"</f>
        <v>0.250792</v>
      </c>
      <c r="G30" s="33"/>
    </row>
    <row r="31" spans="1:7">
      <c r="A31" s="58" t="s">
        <v>460</v>
      </c>
      <c r="B31">
        <v>25</v>
      </c>
      <c r="C31">
        <v>2024</v>
      </c>
      <c r="D31">
        <v>9</v>
      </c>
      <c r="E31" s="74" t="str">
        <f>"249"</f>
        <v>249</v>
      </c>
      <c r="F31" t="s">
        <v>465</v>
      </c>
      <c r="G31" s="33"/>
    </row>
    <row r="32" spans="1:7">
      <c r="A32" s="58" t="s">
        <v>462</v>
      </c>
      <c r="B32">
        <v>26</v>
      </c>
      <c r="C32">
        <v>2024</v>
      </c>
      <c r="D32">
        <v>9</v>
      </c>
      <c r="E32" s="74" t="str">
        <f>"235"</f>
        <v>235</v>
      </c>
      <c r="F32" t="s">
        <v>562</v>
      </c>
      <c r="G32" s="33"/>
    </row>
    <row r="33" spans="1:7">
      <c r="A33" s="58" t="s">
        <v>464</v>
      </c>
      <c r="B33">
        <v>27</v>
      </c>
      <c r="C33">
        <v>2024</v>
      </c>
      <c r="D33">
        <v>9</v>
      </c>
      <c r="E33" s="74" t="str">
        <f>"217"</f>
        <v>217</v>
      </c>
      <c r="F33" t="s">
        <v>461</v>
      </c>
      <c r="G33" s="33"/>
    </row>
    <row r="34" spans="1:7">
      <c r="A34" s="58" t="s">
        <v>466</v>
      </c>
      <c r="B34">
        <v>28</v>
      </c>
      <c r="C34">
        <v>2024</v>
      </c>
      <c r="D34">
        <v>9</v>
      </c>
      <c r="E34" s="74" t="str">
        <f>"645"</f>
        <v>645</v>
      </c>
      <c r="G34" s="33"/>
    </row>
    <row r="35" spans="1:7">
      <c r="A35" s="58" t="s">
        <v>467</v>
      </c>
      <c r="B35">
        <v>29</v>
      </c>
      <c r="C35">
        <v>2024</v>
      </c>
      <c r="D35">
        <v>9</v>
      </c>
      <c r="E35" s="75" t="str">
        <f>"0.85"</f>
        <v>0.85</v>
      </c>
      <c r="G35" s="33"/>
    </row>
    <row r="36" spans="1:7">
      <c r="A36" s="58" t="s">
        <v>468</v>
      </c>
      <c r="B36">
        <v>30</v>
      </c>
      <c r="C36">
        <v>2024</v>
      </c>
      <c r="D36">
        <v>9</v>
      </c>
      <c r="E36" s="74" t="str">
        <f t="shared" ref="E36:E60" si="0">"0"</f>
        <v>0</v>
      </c>
      <c r="G36" s="33"/>
    </row>
    <row r="37" spans="1:7">
      <c r="A37" s="58" t="s">
        <v>469</v>
      </c>
      <c r="B37">
        <v>31</v>
      </c>
      <c r="C37">
        <v>2024</v>
      </c>
      <c r="D37">
        <v>9</v>
      </c>
      <c r="E37" s="74" t="str">
        <f t="shared" si="0"/>
        <v>0</v>
      </c>
      <c r="G37" s="33"/>
    </row>
    <row r="38" spans="1:7">
      <c r="A38" s="56" t="s">
        <v>470</v>
      </c>
      <c r="B38">
        <v>32</v>
      </c>
      <c r="C38">
        <v>2024</v>
      </c>
      <c r="D38">
        <v>9</v>
      </c>
      <c r="E38" s="74" t="str">
        <f t="shared" si="0"/>
        <v>0</v>
      </c>
      <c r="G38" s="33"/>
    </row>
    <row r="39" spans="1:7">
      <c r="A39" s="59" t="s">
        <v>471</v>
      </c>
      <c r="B39">
        <v>33</v>
      </c>
      <c r="C39">
        <v>2024</v>
      </c>
      <c r="D39">
        <v>9</v>
      </c>
      <c r="E39" s="74" t="str">
        <f t="shared" si="0"/>
        <v>0</v>
      </c>
      <c r="G39" s="33"/>
    </row>
    <row r="40" spans="1:7">
      <c r="A40" s="56" t="s">
        <v>473</v>
      </c>
      <c r="B40">
        <v>34</v>
      </c>
      <c r="C40">
        <v>2024</v>
      </c>
      <c r="D40">
        <v>9</v>
      </c>
      <c r="E40" s="74" t="str">
        <f t="shared" si="0"/>
        <v>0</v>
      </c>
      <c r="G40" s="33"/>
    </row>
    <row r="41" spans="1:7">
      <c r="A41" s="59" t="s">
        <v>475</v>
      </c>
      <c r="B41">
        <v>35</v>
      </c>
      <c r="C41">
        <v>2024</v>
      </c>
      <c r="D41">
        <v>9</v>
      </c>
      <c r="E41" s="74" t="str">
        <f t="shared" si="0"/>
        <v>0</v>
      </c>
      <c r="G41" s="33"/>
    </row>
    <row r="42" spans="1:7">
      <c r="A42" s="59" t="s">
        <v>477</v>
      </c>
      <c r="B42">
        <v>36</v>
      </c>
      <c r="C42">
        <v>2024</v>
      </c>
      <c r="D42">
        <v>9</v>
      </c>
      <c r="E42" s="74" t="str">
        <f t="shared" si="0"/>
        <v>0</v>
      </c>
      <c r="G42" s="33"/>
    </row>
    <row r="43" spans="1:7">
      <c r="A43" s="59" t="s">
        <v>479</v>
      </c>
      <c r="B43">
        <v>37</v>
      </c>
      <c r="C43">
        <v>2024</v>
      </c>
      <c r="D43">
        <v>9</v>
      </c>
      <c r="E43" s="74" t="str">
        <f t="shared" si="0"/>
        <v>0</v>
      </c>
      <c r="G43" s="33"/>
    </row>
    <row r="44" spans="1:7">
      <c r="A44" s="59" t="s">
        <v>480</v>
      </c>
      <c r="B44">
        <v>38</v>
      </c>
      <c r="C44">
        <v>2024</v>
      </c>
      <c r="D44">
        <v>9</v>
      </c>
      <c r="E44" s="74" t="str">
        <f t="shared" si="0"/>
        <v>0</v>
      </c>
      <c r="G44" s="33"/>
    </row>
    <row r="45" spans="1:7">
      <c r="A45" s="59" t="s">
        <v>481</v>
      </c>
      <c r="B45">
        <v>39</v>
      </c>
      <c r="C45">
        <v>2024</v>
      </c>
      <c r="D45">
        <v>9</v>
      </c>
      <c r="E45" s="74" t="str">
        <f t="shared" si="0"/>
        <v>0</v>
      </c>
      <c r="G45" s="33"/>
    </row>
    <row r="46" spans="1:7">
      <c r="A46" s="56" t="s">
        <v>482</v>
      </c>
      <c r="B46">
        <v>40</v>
      </c>
      <c r="C46">
        <v>2024</v>
      </c>
      <c r="D46">
        <v>9</v>
      </c>
      <c r="E46" s="74" t="str">
        <f t="shared" si="0"/>
        <v>0</v>
      </c>
      <c r="G46" s="33"/>
    </row>
    <row r="47" spans="1:7">
      <c r="A47" s="56" t="s">
        <v>483</v>
      </c>
      <c r="B47">
        <v>41</v>
      </c>
      <c r="C47">
        <v>2024</v>
      </c>
      <c r="D47">
        <v>9</v>
      </c>
      <c r="E47" s="74" t="str">
        <f t="shared" si="0"/>
        <v>0</v>
      </c>
      <c r="G47" s="33"/>
    </row>
    <row r="48" spans="1:7">
      <c r="A48" s="56" t="s">
        <v>484</v>
      </c>
      <c r="B48">
        <v>42</v>
      </c>
      <c r="C48">
        <v>2024</v>
      </c>
      <c r="D48">
        <v>9</v>
      </c>
      <c r="E48" s="74" t="str">
        <f t="shared" si="0"/>
        <v>0</v>
      </c>
      <c r="G48" s="33"/>
    </row>
    <row r="49" spans="1:7">
      <c r="A49" s="56" t="s">
        <v>485</v>
      </c>
      <c r="B49">
        <v>43</v>
      </c>
      <c r="C49">
        <v>2024</v>
      </c>
      <c r="D49">
        <v>9</v>
      </c>
      <c r="E49" s="74" t="str">
        <f t="shared" si="0"/>
        <v>0</v>
      </c>
      <c r="G49" s="33"/>
    </row>
    <row r="50" spans="1:7">
      <c r="A50" s="56" t="s">
        <v>486</v>
      </c>
      <c r="B50">
        <v>44</v>
      </c>
      <c r="C50">
        <v>2024</v>
      </c>
      <c r="D50">
        <v>9</v>
      </c>
      <c r="E50" s="74" t="str">
        <f t="shared" si="0"/>
        <v>0</v>
      </c>
      <c r="G50" s="33"/>
    </row>
    <row r="51" spans="1:7">
      <c r="A51" s="59" t="s">
        <v>487</v>
      </c>
      <c r="B51">
        <v>45</v>
      </c>
      <c r="C51">
        <v>2024</v>
      </c>
      <c r="D51">
        <v>9</v>
      </c>
      <c r="E51" s="74" t="str">
        <f t="shared" si="0"/>
        <v>0</v>
      </c>
      <c r="G51" s="33"/>
    </row>
    <row r="52" spans="1:7">
      <c r="A52" s="59" t="s">
        <v>489</v>
      </c>
      <c r="B52">
        <v>46</v>
      </c>
      <c r="C52">
        <v>2024</v>
      </c>
      <c r="D52">
        <v>9</v>
      </c>
      <c r="E52" s="74" t="str">
        <f t="shared" si="0"/>
        <v>0</v>
      </c>
      <c r="G52" s="33"/>
    </row>
    <row r="53" spans="1:7">
      <c r="A53" s="59" t="s">
        <v>491</v>
      </c>
      <c r="B53">
        <v>47</v>
      </c>
      <c r="C53">
        <v>2024</v>
      </c>
      <c r="D53">
        <v>9</v>
      </c>
      <c r="E53" s="74" t="str">
        <f t="shared" si="0"/>
        <v>0</v>
      </c>
      <c r="G53" s="33"/>
    </row>
    <row r="54" spans="1:7">
      <c r="A54" s="59" t="s">
        <v>492</v>
      </c>
      <c r="B54">
        <v>48</v>
      </c>
      <c r="C54">
        <v>2024</v>
      </c>
      <c r="D54">
        <v>9</v>
      </c>
      <c r="E54" s="74" t="str">
        <f t="shared" si="0"/>
        <v>0</v>
      </c>
      <c r="G54" s="33"/>
    </row>
    <row r="55" spans="1:7">
      <c r="A55" s="59" t="s">
        <v>493</v>
      </c>
      <c r="B55">
        <v>49</v>
      </c>
      <c r="C55">
        <v>2024</v>
      </c>
      <c r="D55">
        <v>9</v>
      </c>
      <c r="E55" s="74" t="str">
        <f t="shared" si="0"/>
        <v>0</v>
      </c>
      <c r="G55" s="33"/>
    </row>
    <row r="56" spans="1:7">
      <c r="A56" s="56" t="s">
        <v>494</v>
      </c>
      <c r="B56">
        <v>50</v>
      </c>
      <c r="C56">
        <v>2024</v>
      </c>
      <c r="D56">
        <v>9</v>
      </c>
      <c r="E56" s="74" t="str">
        <f t="shared" si="0"/>
        <v>0</v>
      </c>
      <c r="G56" s="33"/>
    </row>
    <row r="57" spans="1:7">
      <c r="A57" s="56" t="s">
        <v>495</v>
      </c>
      <c r="B57">
        <v>51</v>
      </c>
      <c r="C57">
        <v>2024</v>
      </c>
      <c r="D57">
        <v>9</v>
      </c>
      <c r="E57" s="74" t="str">
        <f t="shared" si="0"/>
        <v>0</v>
      </c>
      <c r="G57" s="33"/>
    </row>
    <row r="58" spans="1:7">
      <c r="A58" s="56" t="s">
        <v>496</v>
      </c>
      <c r="B58">
        <v>52</v>
      </c>
      <c r="C58">
        <v>2024</v>
      </c>
      <c r="D58">
        <v>9</v>
      </c>
      <c r="E58" s="74" t="str">
        <f t="shared" si="0"/>
        <v>0</v>
      </c>
      <c r="G58" s="33"/>
    </row>
    <row r="59" spans="1:7">
      <c r="A59" s="56" t="s">
        <v>497</v>
      </c>
      <c r="B59">
        <v>53</v>
      </c>
      <c r="C59">
        <v>2024</v>
      </c>
      <c r="D59">
        <v>9</v>
      </c>
      <c r="E59" s="74" t="str">
        <f t="shared" si="0"/>
        <v>0</v>
      </c>
      <c r="G59" s="33"/>
    </row>
    <row r="60" spans="1:7">
      <c r="A60" s="56" t="s">
        <v>498</v>
      </c>
      <c r="B60">
        <v>54</v>
      </c>
      <c r="C60">
        <v>2024</v>
      </c>
      <c r="D60">
        <v>9</v>
      </c>
      <c r="E60" s="74" t="str">
        <f t="shared" si="0"/>
        <v>0</v>
      </c>
      <c r="G60" s="3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399FB-F564-45EB-A801-D7AE9C9A9FFF}">
  <sheetPr codeName="Sheet10">
    <tabColor rgb="FF00B050"/>
  </sheetPr>
  <dimension ref="B2:K29"/>
  <sheetViews>
    <sheetView zoomScale="85" zoomScaleNormal="85" workbookViewId="0">
      <selection activeCell="V39" sqref="V39"/>
    </sheetView>
  </sheetViews>
  <sheetFormatPr defaultRowHeight="14.4"/>
  <cols>
    <col min="9" max="9" width="6.5546875" customWidth="1"/>
  </cols>
  <sheetData>
    <row r="2" spans="2:11" ht="21">
      <c r="B2" s="45" t="s">
        <v>22</v>
      </c>
      <c r="C2" s="6" t="s">
        <v>534</v>
      </c>
    </row>
    <row r="4" spans="2:11" ht="21">
      <c r="B4" s="45" t="s">
        <v>24</v>
      </c>
      <c r="C4" s="6" t="s">
        <v>535</v>
      </c>
    </row>
    <row r="5" spans="2:11" ht="15.6">
      <c r="C5" s="41" t="s">
        <v>536</v>
      </c>
    </row>
    <row r="7" spans="2:11" ht="21">
      <c r="B7" s="45" t="s">
        <v>27</v>
      </c>
      <c r="C7" s="6" t="s">
        <v>537</v>
      </c>
    </row>
    <row r="8" spans="2:11" ht="21">
      <c r="C8" s="41" t="s">
        <v>538</v>
      </c>
      <c r="D8" s="2"/>
      <c r="E8" s="2"/>
      <c r="F8" s="2"/>
      <c r="G8" s="2"/>
      <c r="H8" s="2"/>
      <c r="I8" s="2"/>
      <c r="J8" s="44" t="s">
        <v>539</v>
      </c>
      <c r="K8" s="2"/>
    </row>
    <row r="9" spans="2:11" ht="18.600000000000001" customHeight="1"/>
    <row r="19" spans="7:7" ht="21">
      <c r="G19" s="3" t="s">
        <v>540</v>
      </c>
    </row>
    <row r="28" spans="7:7" ht="18">
      <c r="G28" s="5"/>
    </row>
    <row r="29" spans="7:7">
      <c r="G29" s="4"/>
    </row>
  </sheetData>
  <hyperlinks>
    <hyperlink ref="J8" r:id="rId1" display="../../../../../../../:f:/r/sites/FLIK_Sam-E15Channel/Shared Documents/E15 Channel/Analytics/Analytics Hours/Monthly Infographic/Published Reports?csf=1&amp;web=1&amp;e=Q0WBzN" xr:uid="{352CF11B-1C01-44C0-B8B0-9AE150639335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7D9A-AFEE-4CC2-948C-83472C8DB291}">
  <sheetPr codeName="Sheet2">
    <tabColor theme="5" tint="0.39997558519241921"/>
  </sheetPr>
  <dimension ref="A1:V67"/>
  <sheetViews>
    <sheetView zoomScale="145" zoomScaleNormal="145" workbookViewId="0">
      <selection activeCell="T25" sqref="T25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5" max="15" width="4.109375" customWidth="1"/>
    <col min="16" max="17" width="0" hidden="1" customWidth="1"/>
  </cols>
  <sheetData>
    <row r="1" spans="2:13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3" spans="2:13" ht="15" customHeight="1">
      <c r="C3" s="76" t="e" vm="1">
        <v>#VALUE!</v>
      </c>
      <c r="D3" s="76"/>
      <c r="E3" s="76"/>
      <c r="F3" s="77" t="s">
        <v>564</v>
      </c>
      <c r="G3" s="77"/>
      <c r="H3" s="77"/>
      <c r="I3" s="77"/>
      <c r="J3" s="77"/>
      <c r="K3" s="77"/>
      <c r="L3" s="77"/>
    </row>
    <row r="4" spans="2:13" ht="17.399999999999999">
      <c r="C4" s="76"/>
      <c r="D4" s="76"/>
      <c r="E4" s="76"/>
      <c r="F4" s="12" t="s">
        <v>436</v>
      </c>
      <c r="G4" s="13"/>
      <c r="H4" s="13"/>
      <c r="I4" s="13"/>
      <c r="J4" s="13"/>
      <c r="K4" s="13"/>
      <c r="L4" s="13"/>
    </row>
    <row r="5" spans="2:13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3" ht="11.1" customHeight="1">
      <c r="C6" s="76"/>
      <c r="D6" s="76"/>
      <c r="E6" s="76"/>
      <c r="F6" s="78" t="s">
        <v>565</v>
      </c>
      <c r="G6" s="78"/>
      <c r="H6" s="78"/>
      <c r="I6" s="78"/>
      <c r="J6" s="78"/>
      <c r="K6" s="78"/>
      <c r="L6" s="13"/>
    </row>
    <row r="7" spans="2:13" ht="10.5" customHeight="1">
      <c r="C7" s="76"/>
      <c r="D7" s="76"/>
      <c r="E7" s="76"/>
      <c r="F7" s="78" t="str">
        <f>""&amp;Q8&amp;" VOC responses received"</f>
        <v xml:space="preserve"> VOC responses received</v>
      </c>
      <c r="G7" s="78"/>
      <c r="H7" s="78"/>
      <c r="I7" s="78"/>
      <c r="J7" s="78"/>
      <c r="K7" s="78"/>
      <c r="L7" s="76" t="e" vm="2">
        <v>#VALUE!</v>
      </c>
    </row>
    <row r="8" spans="2:13" ht="12.9" customHeight="1">
      <c r="C8" s="76"/>
      <c r="D8" s="76"/>
      <c r="E8" s="76"/>
      <c r="F8" s="78" t="str">
        <f>""&amp;Q9&amp;" Origami and "&amp;Q10&amp;" Red Phone incidences reported"</f>
        <v xml:space="preserve"> Origami and  Red Phone incidences reported</v>
      </c>
      <c r="G8" s="78"/>
      <c r="H8" s="78"/>
      <c r="I8" s="78"/>
      <c r="J8" s="78"/>
      <c r="K8" s="78"/>
      <c r="L8" s="76"/>
    </row>
    <row r="9" spans="2:13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3" ht="10.5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3" ht="12.9" customHeight="1">
      <c r="C11" s="110" t="s">
        <v>566</v>
      </c>
      <c r="D11" s="110"/>
      <c r="E11" s="110"/>
      <c r="F11" s="16"/>
      <c r="G11" s="88" t="s">
        <v>0</v>
      </c>
      <c r="H11" s="88"/>
      <c r="I11" s="88"/>
      <c r="J11" s="16"/>
      <c r="K11" s="16"/>
      <c r="L11" s="16"/>
    </row>
    <row r="12" spans="2:13" ht="13.5" customHeight="1">
      <c r="C12" s="110"/>
      <c r="D12" s="110"/>
      <c r="E12" s="110"/>
      <c r="F12" s="16"/>
      <c r="G12" s="88"/>
      <c r="H12" s="88"/>
      <c r="I12" s="88"/>
      <c r="J12" s="16"/>
      <c r="K12" s="16"/>
      <c r="L12" s="16"/>
    </row>
    <row r="13" spans="2:13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3" ht="6.6" customHeight="1">
      <c r="C14" s="16"/>
      <c r="D14" s="14"/>
      <c r="E14" s="14"/>
      <c r="F14" s="16"/>
      <c r="G14" s="84">
        <f>Q13</f>
        <v>0</v>
      </c>
      <c r="H14" s="18"/>
      <c r="I14" s="84">
        <f>Q15</f>
        <v>0</v>
      </c>
      <c r="J14" s="16"/>
      <c r="K14" s="16"/>
      <c r="L14" s="16"/>
    </row>
    <row r="15" spans="2:13" ht="18" customHeight="1">
      <c r="C15" s="16"/>
      <c r="D15" s="89">
        <f>Q7</f>
        <v>0</v>
      </c>
      <c r="E15" s="89"/>
      <c r="F15" s="16"/>
      <c r="G15" s="84"/>
      <c r="H15" s="13"/>
      <c r="I15" s="84"/>
      <c r="J15" s="16"/>
      <c r="K15" s="79" t="s">
        <v>1</v>
      </c>
      <c r="L15" s="16"/>
    </row>
    <row r="16" spans="2:13" ht="9.6" customHeight="1">
      <c r="C16" s="16"/>
      <c r="D16" s="89"/>
      <c r="E16" s="89"/>
      <c r="F16" s="16"/>
      <c r="G16" s="19" t="s">
        <v>2</v>
      </c>
      <c r="H16" s="13"/>
      <c r="I16" s="80" t="s">
        <v>3</v>
      </c>
      <c r="J16" s="16"/>
      <c r="K16" s="79"/>
      <c r="L16" s="16"/>
    </row>
    <row r="17" spans="3:13" ht="13.5" customHeight="1">
      <c r="C17" s="16"/>
      <c r="D17" s="81" t="s">
        <v>4</v>
      </c>
      <c r="E17" s="81"/>
      <c r="F17" s="16"/>
      <c r="G17" s="20" t="str">
        <f>""&amp;ROUND(Q14,0)&amp;"%"</f>
        <v>0%</v>
      </c>
      <c r="H17" s="13"/>
      <c r="I17" s="80"/>
      <c r="J17" s="16"/>
      <c r="K17" s="79"/>
      <c r="L17" s="16"/>
    </row>
    <row r="18" spans="3:13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>
        <f>Q18</f>
        <v>0</v>
      </c>
      <c r="L18" s="16"/>
    </row>
    <row r="19" spans="3:13" ht="18" customHeight="1">
      <c r="C19" s="16"/>
      <c r="E19" s="21"/>
      <c r="F19" s="16"/>
      <c r="G19" s="22"/>
      <c r="H19" s="13"/>
      <c r="I19" s="80"/>
      <c r="J19" s="16"/>
      <c r="K19" s="82"/>
      <c r="L19" s="16"/>
    </row>
    <row r="20" spans="3:13" ht="9.6" customHeight="1">
      <c r="C20" s="16"/>
      <c r="D20" s="83">
        <f>Q11</f>
        <v>0</v>
      </c>
      <c r="E20" s="83"/>
      <c r="F20" s="16"/>
      <c r="G20" s="84">
        <f>Q16</f>
        <v>0</v>
      </c>
      <c r="H20" s="13"/>
      <c r="I20" s="84">
        <f>Q17</f>
        <v>0</v>
      </c>
      <c r="J20" s="16"/>
      <c r="K20" s="82"/>
      <c r="L20" s="16"/>
    </row>
    <row r="21" spans="3:13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3" ht="16.5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3" ht="9.6" customHeight="1">
      <c r="C23" s="16"/>
      <c r="D23" s="86"/>
      <c r="E23" s="86"/>
      <c r="F23" s="16"/>
      <c r="G23" s="80"/>
      <c r="H23" s="13"/>
      <c r="I23" s="80"/>
      <c r="J23" s="16"/>
      <c r="K23" s="85"/>
      <c r="L23" s="16"/>
    </row>
    <row r="24" spans="3:13" ht="8.1" customHeight="1">
      <c r="C24" s="16"/>
      <c r="F24" s="16"/>
      <c r="G24" s="80"/>
      <c r="H24" s="13"/>
      <c r="I24" s="80"/>
      <c r="J24" s="16"/>
      <c r="K24" s="85"/>
      <c r="L24" s="16"/>
    </row>
    <row r="25" spans="3:13" ht="8.1" customHeight="1">
      <c r="C25" s="16"/>
      <c r="D25" s="16"/>
      <c r="E25" s="16"/>
      <c r="F25" s="16"/>
      <c r="G25" s="23"/>
      <c r="H25" s="13"/>
      <c r="I25" s="80"/>
      <c r="J25" s="16"/>
      <c r="K25" s="16"/>
      <c r="L25" s="16"/>
    </row>
    <row r="26" spans="3:13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3" ht="9.9" customHeight="1"/>
    <row r="28" spans="3:13" ht="22.5" customHeight="1">
      <c r="D28" s="93">
        <f>SUM(Q20:Q22)</f>
        <v>0</v>
      </c>
      <c r="E28" s="93"/>
      <c r="G28" s="111" t="s">
        <v>567</v>
      </c>
      <c r="H28" s="111"/>
      <c r="I28" s="111"/>
      <c r="J28" s="111"/>
      <c r="K28" s="111"/>
      <c r="L28" s="111"/>
      <c r="M28" s="24"/>
    </row>
    <row r="29" spans="3:13" ht="10.5" customHeight="1">
      <c r="D29" s="94" t="s">
        <v>10</v>
      </c>
      <c r="E29" s="94"/>
      <c r="G29" s="111"/>
      <c r="H29" s="111"/>
      <c r="I29" s="111"/>
      <c r="J29" s="111"/>
      <c r="K29" s="111"/>
      <c r="L29" s="111"/>
      <c r="M29" s="24"/>
    </row>
    <row r="30" spans="3:13" ht="12" customHeight="1">
      <c r="D30" s="94"/>
      <c r="E30" s="94"/>
    </row>
    <row r="31" spans="3:13" ht="12" customHeight="1">
      <c r="D31" s="25" t="str">
        <f>""&amp;ROUND(Q23,0)&amp;"%"</f>
        <v>0%</v>
      </c>
      <c r="E31" s="26" t="str">
        <f>"Positive ("&amp;ROUND(Q20,0)&amp;")"</f>
        <v>Positive (0)</v>
      </c>
      <c r="H31" s="95">
        <f>Q33</f>
        <v>0</v>
      </c>
      <c r="I31" s="95"/>
      <c r="J31" s="95"/>
      <c r="K31" s="95"/>
      <c r="L31" s="95"/>
    </row>
    <row r="32" spans="3:13" ht="12" customHeight="1">
      <c r="D32" s="27" t="str">
        <f>""&amp;ROUND(Q24,0)&amp;"%"</f>
        <v>0%</v>
      </c>
      <c r="E32" s="26" t="str">
        <f>"Neutral ("&amp;ROUND(Q21,0)&amp;")"</f>
        <v>Neutral (0)</v>
      </c>
      <c r="H32" s="95"/>
      <c r="I32" s="95"/>
      <c r="J32" s="95"/>
      <c r="K32" s="95"/>
      <c r="L32" s="95"/>
    </row>
    <row r="33" spans="3:22" ht="11.4" customHeight="1">
      <c r="D33" s="27" t="str">
        <f>""&amp;ROUND(Q25,0)&amp;"%"</f>
        <v>0%</v>
      </c>
      <c r="E33" s="26" t="str">
        <f>"Negative ("&amp;ROUND(Q22,0)&amp;")"</f>
        <v>Negative (0)</v>
      </c>
      <c r="H33" s="96" t="s">
        <v>11</v>
      </c>
      <c r="I33" s="96"/>
      <c r="J33" s="96"/>
      <c r="K33" s="96"/>
      <c r="L33" s="96"/>
    </row>
    <row r="34" spans="3:22">
      <c r="H34" s="96"/>
      <c r="I34" s="96"/>
      <c r="J34" s="96"/>
      <c r="K34" s="96"/>
      <c r="L34" s="96"/>
    </row>
    <row r="35" spans="3:22" ht="9.9" customHeight="1">
      <c r="H35" s="28"/>
      <c r="I35" s="29" t="str">
        <f>""&amp;ROUND(Q34,0)&amp;"%"</f>
        <v>0%</v>
      </c>
      <c r="J35" s="30" t="s">
        <v>5</v>
      </c>
      <c r="K35" s="31"/>
      <c r="L35" s="32"/>
    </row>
    <row r="36" spans="3:22" ht="11.4" customHeight="1">
      <c r="C36" s="100" t="s">
        <v>13</v>
      </c>
      <c r="D36" s="100"/>
      <c r="E36" s="100"/>
      <c r="F36" s="100"/>
    </row>
    <row r="37" spans="3:22" ht="9.6" customHeight="1">
      <c r="C37" s="100" t="s">
        <v>14</v>
      </c>
      <c r="D37" s="100"/>
      <c r="E37" s="100"/>
      <c r="F37" s="100"/>
    </row>
    <row r="38" spans="3:22" ht="21" customHeight="1">
      <c r="H38" s="90">
        <f>Q36</f>
        <v>0</v>
      </c>
      <c r="I38" s="90"/>
      <c r="K38" s="90">
        <f>Q37</f>
        <v>0</v>
      </c>
      <c r="L38" s="90"/>
    </row>
    <row r="39" spans="3:22" ht="6" customHeight="1">
      <c r="H39" s="91" t="s">
        <v>15</v>
      </c>
      <c r="I39" s="91"/>
      <c r="K39" s="92" t="s">
        <v>16</v>
      </c>
      <c r="L39" s="92"/>
    </row>
    <row r="40" spans="3:22" ht="11.4" customHeight="1">
      <c r="H40" s="91"/>
      <c r="I40" s="91"/>
      <c r="K40" s="92"/>
      <c r="L40" s="92"/>
    </row>
    <row r="41" spans="3:22">
      <c r="H41" s="91"/>
      <c r="I41" s="91"/>
      <c r="K41" s="92"/>
      <c r="L41" s="92"/>
    </row>
    <row r="43" spans="3:2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  <c r="U43" t="s">
        <v>472</v>
      </c>
      <c r="V43" t="s">
        <v>474</v>
      </c>
    </row>
    <row r="44" spans="3:22" ht="11.4" customHeight="1">
      <c r="C44" s="98" t="s">
        <v>17</v>
      </c>
      <c r="D44" s="98"/>
      <c r="E44" s="98"/>
      <c r="F44" s="98"/>
      <c r="G44" s="10"/>
      <c r="H44" s="10"/>
      <c r="I44" s="10"/>
      <c r="J44" s="10"/>
      <c r="K44" s="10"/>
      <c r="L44" s="10"/>
      <c r="T44" t="s">
        <v>476</v>
      </c>
      <c r="U44">
        <v>5</v>
      </c>
      <c r="V44">
        <v>4</v>
      </c>
    </row>
    <row r="45" spans="3:22" ht="12" customHeight="1">
      <c r="C45" s="98"/>
      <c r="D45" s="98"/>
      <c r="E45" s="98"/>
      <c r="F45" s="98"/>
      <c r="G45" s="10"/>
      <c r="H45" s="10"/>
      <c r="I45" s="10"/>
      <c r="J45" s="10"/>
      <c r="K45" s="10"/>
      <c r="L45" s="10"/>
      <c r="T45" t="s">
        <v>478</v>
      </c>
      <c r="U45">
        <v>5</v>
      </c>
      <c r="V45">
        <v>2</v>
      </c>
    </row>
    <row r="46" spans="3:2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  <c r="T46" t="s">
        <v>500</v>
      </c>
      <c r="U46">
        <v>2</v>
      </c>
      <c r="V46">
        <v>1</v>
      </c>
    </row>
    <row r="47" spans="3:22" ht="14.4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  <c r="T47" t="s">
        <v>501</v>
      </c>
      <c r="U47">
        <v>2</v>
      </c>
      <c r="V47">
        <v>1</v>
      </c>
    </row>
    <row r="48" spans="3:22">
      <c r="C48" s="10"/>
      <c r="D48" s="99"/>
      <c r="E48" s="99"/>
      <c r="F48" s="10"/>
      <c r="G48" s="10"/>
      <c r="H48" s="10"/>
      <c r="I48" s="10"/>
      <c r="J48" s="10"/>
      <c r="K48" s="10"/>
      <c r="L48" s="10"/>
      <c r="T48" t="s">
        <v>502</v>
      </c>
      <c r="U48">
        <v>1</v>
      </c>
      <c r="V48">
        <v>1</v>
      </c>
    </row>
    <row r="49" spans="2:22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22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22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  <c r="U51" t="s">
        <v>472</v>
      </c>
      <c r="V51" t="s">
        <v>474</v>
      </c>
    </row>
    <row r="52" spans="2:22">
      <c r="C52" s="10"/>
      <c r="D52" s="10"/>
      <c r="E52" s="10"/>
      <c r="F52" s="10"/>
      <c r="G52" s="10"/>
      <c r="H52" s="10"/>
      <c r="I52" s="10"/>
      <c r="J52" s="10"/>
      <c r="K52" s="10"/>
      <c r="L52" s="10"/>
      <c r="T52" t="s">
        <v>506</v>
      </c>
      <c r="U52">
        <v>5</v>
      </c>
      <c r="V52">
        <v>4</v>
      </c>
    </row>
    <row r="53" spans="2:22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T53" t="s">
        <v>507</v>
      </c>
      <c r="U53">
        <v>5</v>
      </c>
      <c r="V53">
        <v>2</v>
      </c>
    </row>
    <row r="54" spans="2:22">
      <c r="C54" s="10"/>
      <c r="D54" s="10"/>
      <c r="E54" s="10"/>
      <c r="F54" s="10"/>
      <c r="G54" s="10"/>
      <c r="H54" s="10"/>
      <c r="I54" s="10"/>
      <c r="J54" s="10"/>
      <c r="K54" s="10"/>
      <c r="L54" s="10"/>
      <c r="T54" t="s">
        <v>508</v>
      </c>
      <c r="U54">
        <v>2</v>
      </c>
      <c r="V54">
        <v>1</v>
      </c>
    </row>
    <row r="55" spans="2:22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  <c r="T55" t="s">
        <v>509</v>
      </c>
      <c r="U55">
        <v>2</v>
      </c>
      <c r="V55">
        <v>1</v>
      </c>
    </row>
    <row r="56" spans="2:22">
      <c r="C56" s="10"/>
      <c r="D56" s="10"/>
      <c r="E56" s="10"/>
      <c r="F56" s="10"/>
      <c r="G56" s="10"/>
      <c r="H56" s="10"/>
      <c r="I56" s="10"/>
      <c r="J56" s="10"/>
      <c r="K56" s="10"/>
      <c r="L56" s="10"/>
      <c r="T56" t="s">
        <v>510</v>
      </c>
      <c r="U56">
        <v>1</v>
      </c>
      <c r="V56">
        <v>1</v>
      </c>
    </row>
    <row r="58" spans="2:22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22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22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22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22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22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22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5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K21:K24"/>
    <mergeCell ref="D22:E23"/>
    <mergeCell ref="G22:G24"/>
    <mergeCell ref="I22:I25"/>
    <mergeCell ref="D28:E28"/>
    <mergeCell ref="G28:L29"/>
    <mergeCell ref="D29:E30"/>
    <mergeCell ref="H31:L32"/>
    <mergeCell ref="H33:L34"/>
    <mergeCell ref="C11:E12"/>
    <mergeCell ref="G11:I12"/>
    <mergeCell ref="G14:G15"/>
    <mergeCell ref="I14:I15"/>
    <mergeCell ref="D15:E16"/>
    <mergeCell ref="K15:K17"/>
    <mergeCell ref="I16:I19"/>
    <mergeCell ref="D17:E18"/>
    <mergeCell ref="K18:K20"/>
    <mergeCell ref="D20:E21"/>
    <mergeCell ref="C3:E8"/>
    <mergeCell ref="F3:L3"/>
    <mergeCell ref="F6:K6"/>
    <mergeCell ref="F7:K7"/>
    <mergeCell ref="L7:L8"/>
    <mergeCell ref="F8:K8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04414-5622-47E8-9639-589E8A00C324}">
  <sheetPr>
    <tabColor theme="4" tint="0.79998168889431442"/>
  </sheetPr>
  <dimension ref="A1:D14"/>
  <sheetViews>
    <sheetView zoomScale="175" zoomScaleNormal="175" workbookViewId="0">
      <selection activeCell="D10" sqref="D10"/>
    </sheetView>
  </sheetViews>
  <sheetFormatPr defaultRowHeight="14.4"/>
  <cols>
    <col min="1" max="1" width="19.88671875" customWidth="1"/>
  </cols>
  <sheetData>
    <row r="1" spans="1:4">
      <c r="A1" t="s">
        <v>541</v>
      </c>
      <c r="B1" t="s">
        <v>542</v>
      </c>
    </row>
    <row r="2" spans="1:4">
      <c r="A2" t="s">
        <v>543</v>
      </c>
      <c r="B2" s="57" t="str">
        <f>"https://cpgplc.sharepoint.com/:x:/s/FLIK_Sam-E15Channel/EYX1e8o0WB5Kiz3kIC4qRnQBnOQzXYLowXVqqGLYri6u8w?e=dDrVXP"</f>
        <v>https://cpgplc.sharepoint.com/:x:/s/FLIK_Sam-E15Channel/EYX1e8o0WB5Kiz3kIC4qRnQBnOQzXYLowXVqqGLYri6u8w?e=dDrVXP</v>
      </c>
    </row>
    <row r="3" spans="1:4">
      <c r="A3" t="s">
        <v>544</v>
      </c>
      <c r="B3" s="57" t="str">
        <f>"https://cpgplc.sharepoint.com/:x:/s/FLIK_Sam-E15Channel/EYejNCmpBjFKk7uCesiyZmsBFDMtmH7bkc2oQVYFxAfScg?e=6VI6KA"</f>
        <v>https://cpgplc.sharepoint.com/:x:/s/FLIK_Sam-E15Channel/EYejNCmpBjFKk7uCesiyZmsBFDMtmH7bkc2oQVYFxAfScg?e=6VI6KA</v>
      </c>
    </row>
    <row r="4" spans="1:4">
      <c r="A4" t="s">
        <v>545</v>
      </c>
      <c r="B4" s="57" t="str">
        <f>"https://cpgplc.sharepoint.com/:x:/s/FLIK_Sam-E15Channel/EZzWEJrofY1Pj4aQHvGBNHsBb9oEiNrTB5kpFyRQocUIQg?e=08I5kV"</f>
        <v>https://cpgplc.sharepoint.com/:x:/s/FLIK_Sam-E15Channel/EZzWEJrofY1Pj4aQHvGBNHsBb9oEiNrTB5kpFyRQocUIQg?e=08I5kV</v>
      </c>
    </row>
    <row r="7" spans="1:4">
      <c r="B7" s="52"/>
    </row>
    <row r="8" spans="1:4">
      <c r="A8" t="s">
        <v>429</v>
      </c>
      <c r="B8" t="s">
        <v>544</v>
      </c>
      <c r="C8" t="s">
        <v>546</v>
      </c>
      <c r="D8" t="s">
        <v>545</v>
      </c>
    </row>
    <row r="9" spans="1:4">
      <c r="A9" t="s">
        <v>436</v>
      </c>
      <c r="B9" s="57" t="str">
        <f>"https://cpgplc.sharepoint.com/:x:/s/FLIK_Sam-E15Channel/EYqEFLNkK6tFmn3933vSr0YBudYO9r6Z5eFLPWUeVh6QtQ?e=6W9GFa"</f>
        <v>https://cpgplc.sharepoint.com/:x:/s/FLIK_Sam-E15Channel/EYqEFLNkK6tFmn3933vSr0YBudYO9r6Z5eFLPWUeVh6QtQ?e=6W9GFa</v>
      </c>
      <c r="C9" s="57" t="str">
        <f>"https://cpgplc.sharepoint.com/:x:/s/FLIK_Sam-E15Channel/EfaJPejaS7BBjv59vcFGkvkBL9pKdYHSDZ1PSiPQ52eHyA?e=VB7lBC"</f>
        <v>https://cpgplc.sharepoint.com/:x:/s/FLIK_Sam-E15Channel/EfaJPejaS7BBjv59vcFGkvkBL9pKdYHSDZ1PSiPQ52eHyA?e=VB7lBC</v>
      </c>
      <c r="D9" s="57" t="str">
        <f>"https://cpgplc.sharepoint.com/:x:/s/FLIK_Sam-E15Channel/EaUJahrpjVdPs-R8Sp3P2DoB5cPENTPPKREMTMIvVGDcKA?e=0ETOEv"</f>
        <v>https://cpgplc.sharepoint.com/:x:/s/FLIK_Sam-E15Channel/EaUJahrpjVdPs-R8Sp3P2DoB5cPENTPPKREMTMIvVGDcKA?e=0ETOEv</v>
      </c>
    </row>
    <row r="10" spans="1:4">
      <c r="A10" t="s">
        <v>499</v>
      </c>
      <c r="B10" s="57" t="str">
        <f>"https://cpgplc.sharepoint.com/:x:/s/FLIK_Sam-E15Channel/ERTPiXSb7r1OuGe4WPl5TaYBd1IcaMmgCleR8UjkY1uxww?e=z7WOEh"</f>
        <v>https://cpgplc.sharepoint.com/:x:/s/FLIK_Sam-E15Channel/ERTPiXSb7r1OuGe4WPl5TaYBd1IcaMmgCleR8UjkY1uxww?e=z7WOEh</v>
      </c>
      <c r="C10" s="57" t="str">
        <f>"https://cpgplc.sharepoint.com/:x:/s/FLIK_Sam-E15Channel/EQredHtlAZdErK8GRCp7ahsB7QJYGVn1da8gsu-F_QYtFw?e=1GsvTS"</f>
        <v>https://cpgplc.sharepoint.com/:x:/s/FLIK_Sam-E15Channel/EQredHtlAZdErK8GRCp7ahsB7QJYGVn1da8gsu-F_QYtFw?e=1GsvTS</v>
      </c>
      <c r="D10" s="57" t="str">
        <f>"https://cpgplc.sharepoint.com/:x:/s/FLIK_Sam-E15Channel/EWmxgzApl2VDj-qvymCSKtEBKJ3rTtcR9dK7o1j18OSxvw?e=r5yOl3"</f>
        <v>https://cpgplc.sharepoint.com/:x:/s/FLIK_Sam-E15Channel/EWmxgzApl2VDj-qvymCSKtEBKJ3rTtcR9dK7o1j18OSxvw?e=r5yOl3</v>
      </c>
    </row>
    <row r="11" spans="1:4">
      <c r="A11" t="s">
        <v>503</v>
      </c>
      <c r="B11" s="57" t="str">
        <f>"https://cpgplc.sharepoint.com/:x:/s/FLIK_Sam-E15Channel/ETzZPEPuT1dHrufRRXmOzeQB4At7Oj7QAfNNx0nQBh_onw?e=c22tN7"</f>
        <v>https://cpgplc.sharepoint.com/:x:/s/FLIK_Sam-E15Channel/ETzZPEPuT1dHrufRRXmOzeQB4At7Oj7QAfNNx0nQBh_onw?e=c22tN7</v>
      </c>
      <c r="C11" s="57" t="str">
        <f>"https://cpgplc.sharepoint.com/:x:/s/FLIK_Sam-E15Channel/EUftJBl8mqRJpbSKuG0HWmoBQdoBy5zdAfhFk94qTQyfUQ?e=m7qTA0"</f>
        <v>https://cpgplc.sharepoint.com/:x:/s/FLIK_Sam-E15Channel/EUftJBl8mqRJpbSKuG0HWmoBQdoBy5zdAfhFk94qTQyfUQ?e=m7qTA0</v>
      </c>
      <c r="D11" s="57" t="str">
        <f>"https://cpgplc.sharepoint.com/:x:/s/FLIK_Sam-E15Channel/ESJrgOl7XQ1OtzzsdRMx7w0BXnFRNSYElnVFkDXXeSDCBA?e=hAnMby"</f>
        <v>https://cpgplc.sharepoint.com/:x:/s/FLIK_Sam-E15Channel/ESJrgOl7XQ1OtzzsdRMx7w0BXnFRNSYElnVFkDXXeSDCBA?e=hAnMby</v>
      </c>
    </row>
    <row r="12" spans="1:4">
      <c r="A12" t="s">
        <v>511</v>
      </c>
      <c r="B12" s="57" t="str">
        <f>"https://cpgplc.sharepoint.com/:x:/s/FLIK_Sam-E15Channel/ERLkX7fV67JIq6pbMP2__MwBOVRySiJ2FPdAOElTvINelA?e=zrra7n"</f>
        <v>https://cpgplc.sharepoint.com/:x:/s/FLIK_Sam-E15Channel/ERLkX7fV67JIq6pbMP2__MwBOVRySiJ2FPdAOElTvINelA?e=zrra7n</v>
      </c>
      <c r="C12" s="57" t="str">
        <f>"https://cpgplc.sharepoint.com/:x:/s/FLIK_Sam-E15Channel/ETV16bYLxL1FgLvHwRHan9cBEHoVBn4_HbEEYoBZVOvTFw?e=fYZqMo"</f>
        <v>https://cpgplc.sharepoint.com/:x:/s/FLIK_Sam-E15Channel/ETV16bYLxL1FgLvHwRHan9cBEHoVBn4_HbEEYoBZVOvTFw?e=fYZqMo</v>
      </c>
      <c r="D12" s="57" t="str">
        <f>"https://cpgplc.sharepoint.com/:x:/s/FLIK_Sam-E15Channel/EZTBKXAIeRRNiIXne7ory-8Bnr_d6SmCx2vuqwF7Zjxb_w?e=s7RRCm"</f>
        <v>https://cpgplc.sharepoint.com/:x:/s/FLIK_Sam-E15Channel/EZTBKXAIeRRNiIXne7ory-8Bnr_d6SmCx2vuqwF7Zjxb_w?e=s7RRCm</v>
      </c>
    </row>
    <row r="13" spans="1:4">
      <c r="A13" t="s">
        <v>512</v>
      </c>
      <c r="B13" s="57" t="str">
        <f>"https://cpgplc.sharepoint.com/:x:/s/FLIK_Sam-E15Channel/EZVrP173SP9Hn534pZdHIKcBNKDmoYPU5D7eaTe42vKkWw?e=K9SlA0"</f>
        <v>https://cpgplc.sharepoint.com/:x:/s/FLIK_Sam-E15Channel/EZVrP173SP9Hn534pZdHIKcBNKDmoYPU5D7eaTe42vKkWw?e=K9SlA0</v>
      </c>
      <c r="C13" s="57" t="str">
        <f>"https://cpgplc.sharepoint.com/:x:/s/FLIK_Sam-E15Channel/EZyCBJzOVR5Mo1rHHtI5x9kBv2VBAJEyIEJos3VA1zbMlw?e=yK1Pcn"</f>
        <v>https://cpgplc.sharepoint.com/:x:/s/FLIK_Sam-E15Channel/EZyCBJzOVR5Mo1rHHtI5x9kBv2VBAJEyIEJos3VA1zbMlw?e=yK1Pcn</v>
      </c>
      <c r="D13" s="57" t="str">
        <f>"https://cpgplc.sharepoint.com/:x:/s/FLIK_Sam-E15Channel/EdEYE3ZHRFVCvEV2eNdX__oBjro3TJzYacGswX0Bn4U95g?e=Me5Opp"</f>
        <v>https://cpgplc.sharepoint.com/:x:/s/FLIK_Sam-E15Channel/EdEYE3ZHRFVCvEV2eNdX__oBjro3TJzYacGswX0Bn4U95g?e=Me5Opp</v>
      </c>
    </row>
    <row r="14" spans="1:4">
      <c r="A14" t="s">
        <v>513</v>
      </c>
      <c r="B14" s="57" t="str">
        <f>"https://cpgplc.sharepoint.com/:x:/s/FLIK_Sam-E15Channel/ET-g5KtknYFFtoERBSacHsIB67rmdJDekBvYj7fuq9N-7Q?e=Xjqjtq"</f>
        <v>https://cpgplc.sharepoint.com/:x:/s/FLIK_Sam-E15Channel/ET-g5KtknYFFtoERBSacHsIB67rmdJDekBvYj7fuq9N-7Q?e=Xjqjtq</v>
      </c>
      <c r="C14" s="57" t="str">
        <f>"https://cpgplc.sharepoint.com/:x:/s/FLIK_Sam-E15Channel/Eebc0cQHI7VBpxz_l-oRTBkBx5SKVayDwXfmUfmNm9FIIw?e=qb4kTb"</f>
        <v>https://cpgplc.sharepoint.com/:x:/s/FLIK_Sam-E15Channel/Eebc0cQHI7VBpxz_l-oRTBkBx5SKVayDwXfmUfmNm9FIIw?e=qb4kTb</v>
      </c>
      <c r="D14" s="57" t="str">
        <f>"https://cpgplc.sharepoint.com/:x:/s/FLIK_Sam-E15Channel/EUSujJdiro1PgZEGwol9nLoB0EJ_JRIPxmEcRMrrK1rKMQ?e=QNJrtk"</f>
        <v>https://cpgplc.sharepoint.com/:x:/s/FLIK_Sam-E15Channel/EUSujJdiro1PgZEGwol9nLoB0EJ_JRIPxmEcRMrrK1rKMQ?e=QNJrtk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206F0-CA8F-41F9-AEDD-22CD9F7BDC4F}">
  <dimension ref="A1:F325"/>
  <sheetViews>
    <sheetView workbookViewId="0"/>
  </sheetViews>
  <sheetFormatPr defaultRowHeight="14.4"/>
  <cols>
    <col min="1" max="1" width="12.5546875" bestFit="1" customWidth="1"/>
    <col min="2" max="2" width="31.88671875" bestFit="1" customWidth="1"/>
    <col min="3" max="3" width="5.5546875" bestFit="1" customWidth="1"/>
    <col min="4" max="4" width="6.109375" bestFit="1" customWidth="1"/>
    <col min="5" max="5" width="11.88671875" bestFit="1" customWidth="1"/>
    <col min="6" max="6" width="22.5546875" bestFit="1" customWidth="1"/>
  </cols>
  <sheetData>
    <row r="1" spans="1:6">
      <c r="A1" t="s">
        <v>428</v>
      </c>
      <c r="B1" t="s">
        <v>547</v>
      </c>
      <c r="C1" t="s">
        <v>430</v>
      </c>
      <c r="D1" t="s">
        <v>431</v>
      </c>
      <c r="E1" t="s">
        <v>432</v>
      </c>
      <c r="F1" t="s">
        <v>433</v>
      </c>
    </row>
    <row r="2" spans="1:6">
      <c r="A2">
        <v>1</v>
      </c>
      <c r="B2" t="s">
        <v>436</v>
      </c>
      <c r="C2">
        <v>2024</v>
      </c>
      <c r="D2">
        <v>9</v>
      </c>
      <c r="E2">
        <v>24</v>
      </c>
    </row>
    <row r="3" spans="1:6">
      <c r="A3">
        <v>2</v>
      </c>
      <c r="B3" t="s">
        <v>436</v>
      </c>
      <c r="C3">
        <v>2024</v>
      </c>
      <c r="D3">
        <v>9</v>
      </c>
      <c r="E3">
        <v>24</v>
      </c>
    </row>
    <row r="4" spans="1:6">
      <c r="A4">
        <v>3</v>
      </c>
      <c r="B4" t="s">
        <v>436</v>
      </c>
      <c r="C4">
        <v>2024</v>
      </c>
      <c r="D4">
        <v>9</v>
      </c>
      <c r="E4">
        <v>92.04</v>
      </c>
    </row>
    <row r="5" spans="1:6">
      <c r="A5">
        <v>4</v>
      </c>
      <c r="B5" t="s">
        <v>436</v>
      </c>
      <c r="C5">
        <v>2024</v>
      </c>
      <c r="D5">
        <v>9</v>
      </c>
      <c r="E5">
        <v>7</v>
      </c>
    </row>
    <row r="6" spans="1:6">
      <c r="A6">
        <v>5</v>
      </c>
      <c r="B6" t="s">
        <v>436</v>
      </c>
      <c r="C6">
        <v>2024</v>
      </c>
      <c r="D6">
        <v>9</v>
      </c>
      <c r="E6">
        <v>0.28999999999999998</v>
      </c>
    </row>
    <row r="7" spans="1:6">
      <c r="A7">
        <v>6</v>
      </c>
      <c r="B7" t="s">
        <v>436</v>
      </c>
      <c r="C7">
        <v>2024</v>
      </c>
      <c r="D7">
        <v>9</v>
      </c>
      <c r="E7">
        <v>164</v>
      </c>
    </row>
    <row r="8" spans="1:6">
      <c r="A8">
        <v>7</v>
      </c>
      <c r="B8" t="s">
        <v>436</v>
      </c>
      <c r="C8">
        <v>2024</v>
      </c>
      <c r="D8">
        <v>9</v>
      </c>
      <c r="E8">
        <v>2.41</v>
      </c>
    </row>
    <row r="9" spans="1:6">
      <c r="A9">
        <v>8</v>
      </c>
      <c r="B9" t="s">
        <v>436</v>
      </c>
      <c r="C9">
        <v>2024</v>
      </c>
      <c r="D9">
        <v>9</v>
      </c>
      <c r="E9">
        <v>93</v>
      </c>
    </row>
    <row r="10" spans="1:6">
      <c r="A10">
        <v>9</v>
      </c>
      <c r="B10" t="s">
        <v>436</v>
      </c>
      <c r="C10">
        <v>2024</v>
      </c>
      <c r="D10">
        <v>9</v>
      </c>
      <c r="E10">
        <v>3.32</v>
      </c>
    </row>
    <row r="11" spans="1:6">
      <c r="A11">
        <v>10</v>
      </c>
      <c r="B11" t="s">
        <v>436</v>
      </c>
      <c r="C11">
        <v>2024</v>
      </c>
      <c r="D11">
        <v>9</v>
      </c>
      <c r="E11">
        <v>40</v>
      </c>
    </row>
    <row r="12" spans="1:6">
      <c r="A12">
        <v>11</v>
      </c>
      <c r="B12" t="s">
        <v>436</v>
      </c>
      <c r="C12">
        <v>2024</v>
      </c>
      <c r="D12">
        <v>9</v>
      </c>
      <c r="E12">
        <v>13</v>
      </c>
    </row>
    <row r="13" spans="1:6">
      <c r="A13">
        <v>12</v>
      </c>
      <c r="B13" t="s">
        <v>436</v>
      </c>
      <c r="C13">
        <v>2024</v>
      </c>
      <c r="D13">
        <v>9</v>
      </c>
      <c r="E13">
        <v>40</v>
      </c>
    </row>
    <row r="14" spans="1:6">
      <c r="A14">
        <v>13</v>
      </c>
      <c r="B14" t="s">
        <v>436</v>
      </c>
      <c r="C14">
        <v>2024</v>
      </c>
      <c r="D14">
        <v>9</v>
      </c>
      <c r="E14">
        <v>75</v>
      </c>
    </row>
    <row r="15" spans="1:6">
      <c r="A15">
        <v>14</v>
      </c>
      <c r="B15" t="s">
        <v>436</v>
      </c>
      <c r="C15">
        <v>2024</v>
      </c>
      <c r="D15">
        <v>9</v>
      </c>
      <c r="E15">
        <v>31</v>
      </c>
    </row>
    <row r="16" spans="1:6">
      <c r="A16">
        <v>15</v>
      </c>
      <c r="B16" t="s">
        <v>436</v>
      </c>
      <c r="C16">
        <v>2024</v>
      </c>
      <c r="D16">
        <v>9</v>
      </c>
      <c r="E16">
        <v>61</v>
      </c>
    </row>
    <row r="17" spans="1:6">
      <c r="A17">
        <v>16</v>
      </c>
      <c r="B17" t="s">
        <v>436</v>
      </c>
      <c r="C17">
        <v>2024</v>
      </c>
      <c r="D17">
        <v>9</v>
      </c>
      <c r="E17">
        <v>2</v>
      </c>
    </row>
    <row r="18" spans="1:6">
      <c r="A18">
        <v>17</v>
      </c>
      <c r="B18" t="s">
        <v>436</v>
      </c>
      <c r="C18">
        <v>2024</v>
      </c>
      <c r="D18">
        <v>9</v>
      </c>
      <c r="E18">
        <v>947</v>
      </c>
    </row>
    <row r="19" spans="1:6">
      <c r="A19">
        <v>18</v>
      </c>
      <c r="B19" t="s">
        <v>436</v>
      </c>
      <c r="C19">
        <v>2024</v>
      </c>
      <c r="D19">
        <v>9</v>
      </c>
      <c r="E19">
        <v>451</v>
      </c>
    </row>
    <row r="20" spans="1:6">
      <c r="A20">
        <v>19</v>
      </c>
      <c r="B20" t="s">
        <v>436</v>
      </c>
      <c r="C20">
        <v>2024</v>
      </c>
      <c r="D20">
        <v>9</v>
      </c>
      <c r="E20">
        <v>91</v>
      </c>
    </row>
    <row r="21" spans="1:6">
      <c r="A21">
        <v>20</v>
      </c>
      <c r="B21" t="s">
        <v>436</v>
      </c>
      <c r="C21">
        <v>2024</v>
      </c>
      <c r="D21">
        <v>9</v>
      </c>
      <c r="E21">
        <v>278</v>
      </c>
    </row>
    <row r="22" spans="1:6">
      <c r="A22">
        <v>21</v>
      </c>
      <c r="B22" t="s">
        <v>436</v>
      </c>
      <c r="C22">
        <v>2024</v>
      </c>
      <c r="D22">
        <v>9</v>
      </c>
      <c r="E22">
        <v>82</v>
      </c>
    </row>
    <row r="23" spans="1:6">
      <c r="A23">
        <v>22</v>
      </c>
      <c r="B23" t="s">
        <v>436</v>
      </c>
      <c r="C23">
        <v>2024</v>
      </c>
      <c r="D23">
        <v>9</v>
      </c>
      <c r="E23">
        <v>0.20177400000000001</v>
      </c>
    </row>
    <row r="24" spans="1:6">
      <c r="A24">
        <v>23</v>
      </c>
      <c r="B24" t="s">
        <v>436</v>
      </c>
      <c r="C24">
        <v>2024</v>
      </c>
      <c r="D24">
        <v>9</v>
      </c>
      <c r="E24">
        <v>0.61640799999999996</v>
      </c>
    </row>
    <row r="25" spans="1:6">
      <c r="A25">
        <v>24</v>
      </c>
      <c r="B25" t="s">
        <v>436</v>
      </c>
      <c r="C25">
        <v>2024</v>
      </c>
      <c r="D25">
        <v>9</v>
      </c>
      <c r="E25">
        <v>0.18181800000000001</v>
      </c>
    </row>
    <row r="26" spans="1:6">
      <c r="A26">
        <v>25</v>
      </c>
      <c r="B26" t="s">
        <v>436</v>
      </c>
      <c r="C26">
        <v>2024</v>
      </c>
      <c r="D26">
        <v>9</v>
      </c>
      <c r="E26">
        <v>147</v>
      </c>
      <c r="F26" t="s">
        <v>461</v>
      </c>
    </row>
    <row r="27" spans="1:6">
      <c r="A27">
        <v>26</v>
      </c>
      <c r="B27" t="s">
        <v>436</v>
      </c>
      <c r="C27">
        <v>2024</v>
      </c>
      <c r="D27">
        <v>9</v>
      </c>
      <c r="E27">
        <v>118</v>
      </c>
      <c r="F27" t="s">
        <v>463</v>
      </c>
    </row>
    <row r="28" spans="1:6">
      <c r="A28">
        <v>27</v>
      </c>
      <c r="B28" t="s">
        <v>436</v>
      </c>
      <c r="C28">
        <v>2024</v>
      </c>
      <c r="D28">
        <v>9</v>
      </c>
      <c r="E28">
        <v>116</v>
      </c>
      <c r="F28" t="s">
        <v>465</v>
      </c>
    </row>
    <row r="29" spans="1:6">
      <c r="A29">
        <v>28</v>
      </c>
      <c r="B29" t="s">
        <v>436</v>
      </c>
      <c r="C29">
        <v>2024</v>
      </c>
      <c r="D29">
        <v>9</v>
      </c>
      <c r="E29">
        <v>39</v>
      </c>
    </row>
    <row r="30" spans="1:6">
      <c r="A30">
        <v>29</v>
      </c>
      <c r="B30" t="s">
        <v>436</v>
      </c>
      <c r="C30">
        <v>2024</v>
      </c>
      <c r="D30">
        <v>9</v>
      </c>
      <c r="E30">
        <v>0.65</v>
      </c>
    </row>
    <row r="31" spans="1:6">
      <c r="A31">
        <v>30</v>
      </c>
      <c r="B31" t="s">
        <v>436</v>
      </c>
      <c r="C31">
        <v>2024</v>
      </c>
      <c r="D31">
        <v>9</v>
      </c>
      <c r="E31">
        <v>0</v>
      </c>
    </row>
    <row r="32" spans="1:6">
      <c r="A32">
        <v>31</v>
      </c>
      <c r="B32" t="s">
        <v>436</v>
      </c>
      <c r="C32">
        <v>2024</v>
      </c>
      <c r="D32">
        <v>9</v>
      </c>
      <c r="E32">
        <v>0</v>
      </c>
    </row>
    <row r="33" spans="1:5">
      <c r="A33">
        <v>32</v>
      </c>
      <c r="B33" t="s">
        <v>436</v>
      </c>
      <c r="C33">
        <v>2024</v>
      </c>
      <c r="D33">
        <v>9</v>
      </c>
      <c r="E33">
        <v>0</v>
      </c>
    </row>
    <row r="34" spans="1:5">
      <c r="A34">
        <v>33</v>
      </c>
      <c r="B34" t="s">
        <v>436</v>
      </c>
      <c r="C34">
        <v>2024</v>
      </c>
      <c r="D34">
        <v>9</v>
      </c>
      <c r="E34">
        <v>0</v>
      </c>
    </row>
    <row r="35" spans="1:5">
      <c r="A35">
        <v>34</v>
      </c>
      <c r="B35" t="s">
        <v>436</v>
      </c>
      <c r="C35">
        <v>2024</v>
      </c>
      <c r="D35">
        <v>9</v>
      </c>
      <c r="E35">
        <v>0</v>
      </c>
    </row>
    <row r="36" spans="1:5">
      <c r="A36">
        <v>35</v>
      </c>
      <c r="B36" t="s">
        <v>436</v>
      </c>
      <c r="C36">
        <v>2024</v>
      </c>
      <c r="D36">
        <v>9</v>
      </c>
      <c r="E36">
        <v>0</v>
      </c>
    </row>
    <row r="37" spans="1:5">
      <c r="A37">
        <v>36</v>
      </c>
      <c r="B37" t="s">
        <v>436</v>
      </c>
      <c r="C37">
        <v>2024</v>
      </c>
      <c r="D37">
        <v>9</v>
      </c>
      <c r="E37">
        <v>0</v>
      </c>
    </row>
    <row r="38" spans="1:5">
      <c r="A38">
        <v>37</v>
      </c>
      <c r="B38" t="s">
        <v>436</v>
      </c>
      <c r="C38">
        <v>2024</v>
      </c>
      <c r="D38">
        <v>9</v>
      </c>
      <c r="E38">
        <v>0</v>
      </c>
    </row>
    <row r="39" spans="1:5">
      <c r="A39">
        <v>38</v>
      </c>
      <c r="B39" t="s">
        <v>436</v>
      </c>
      <c r="C39">
        <v>2024</v>
      </c>
      <c r="D39">
        <v>9</v>
      </c>
      <c r="E39">
        <v>0</v>
      </c>
    </row>
    <row r="40" spans="1:5">
      <c r="A40">
        <v>39</v>
      </c>
      <c r="B40" t="s">
        <v>436</v>
      </c>
      <c r="C40">
        <v>2024</v>
      </c>
      <c r="D40">
        <v>9</v>
      </c>
      <c r="E40">
        <v>0</v>
      </c>
    </row>
    <row r="41" spans="1:5">
      <c r="A41">
        <v>40</v>
      </c>
      <c r="B41" t="s">
        <v>436</v>
      </c>
      <c r="C41">
        <v>2024</v>
      </c>
      <c r="D41">
        <v>9</v>
      </c>
      <c r="E41">
        <v>0</v>
      </c>
    </row>
    <row r="42" spans="1:5">
      <c r="A42">
        <v>41</v>
      </c>
      <c r="B42" t="s">
        <v>436</v>
      </c>
      <c r="C42">
        <v>2024</v>
      </c>
      <c r="D42">
        <v>9</v>
      </c>
      <c r="E42">
        <v>0</v>
      </c>
    </row>
    <row r="43" spans="1:5">
      <c r="A43">
        <v>42</v>
      </c>
      <c r="B43" t="s">
        <v>436</v>
      </c>
      <c r="C43">
        <v>2024</v>
      </c>
      <c r="D43">
        <v>9</v>
      </c>
      <c r="E43">
        <v>0</v>
      </c>
    </row>
    <row r="44" spans="1:5">
      <c r="A44">
        <v>43</v>
      </c>
      <c r="B44" t="s">
        <v>436</v>
      </c>
      <c r="C44">
        <v>2024</v>
      </c>
      <c r="D44">
        <v>9</v>
      </c>
      <c r="E44">
        <v>0</v>
      </c>
    </row>
    <row r="45" spans="1:5">
      <c r="A45">
        <v>44</v>
      </c>
      <c r="B45" t="s">
        <v>436</v>
      </c>
      <c r="C45">
        <v>2024</v>
      </c>
      <c r="D45">
        <v>9</v>
      </c>
      <c r="E45">
        <v>0</v>
      </c>
    </row>
    <row r="46" spans="1:5">
      <c r="A46">
        <v>45</v>
      </c>
      <c r="B46" t="s">
        <v>436</v>
      </c>
      <c r="C46">
        <v>2024</v>
      </c>
      <c r="D46">
        <v>9</v>
      </c>
      <c r="E46">
        <v>0</v>
      </c>
    </row>
    <row r="47" spans="1:5">
      <c r="A47">
        <v>46</v>
      </c>
      <c r="B47" t="s">
        <v>436</v>
      </c>
      <c r="C47">
        <v>2024</v>
      </c>
      <c r="D47">
        <v>9</v>
      </c>
      <c r="E47">
        <v>0</v>
      </c>
    </row>
    <row r="48" spans="1:5">
      <c r="A48">
        <v>47</v>
      </c>
      <c r="B48" t="s">
        <v>436</v>
      </c>
      <c r="C48">
        <v>2024</v>
      </c>
      <c r="D48">
        <v>9</v>
      </c>
      <c r="E48">
        <v>0</v>
      </c>
    </row>
    <row r="49" spans="1:5">
      <c r="A49">
        <v>48</v>
      </c>
      <c r="B49" t="s">
        <v>436</v>
      </c>
      <c r="C49">
        <v>2024</v>
      </c>
      <c r="D49">
        <v>9</v>
      </c>
      <c r="E49">
        <v>0</v>
      </c>
    </row>
    <row r="50" spans="1:5">
      <c r="A50">
        <v>49</v>
      </c>
      <c r="B50" t="s">
        <v>436</v>
      </c>
      <c r="C50">
        <v>2024</v>
      </c>
      <c r="D50">
        <v>9</v>
      </c>
      <c r="E50">
        <v>0</v>
      </c>
    </row>
    <row r="51" spans="1:5">
      <c r="A51">
        <v>50</v>
      </c>
      <c r="B51" t="s">
        <v>436</v>
      </c>
      <c r="C51">
        <v>2024</v>
      </c>
      <c r="D51">
        <v>9</v>
      </c>
      <c r="E51">
        <v>0</v>
      </c>
    </row>
    <row r="52" spans="1:5">
      <c r="A52">
        <v>51</v>
      </c>
      <c r="B52" t="s">
        <v>436</v>
      </c>
      <c r="C52">
        <v>2024</v>
      </c>
      <c r="D52">
        <v>9</v>
      </c>
      <c r="E52">
        <v>0</v>
      </c>
    </row>
    <row r="53" spans="1:5">
      <c r="A53">
        <v>52</v>
      </c>
      <c r="B53" t="s">
        <v>436</v>
      </c>
      <c r="C53">
        <v>2024</v>
      </c>
      <c r="D53">
        <v>9</v>
      </c>
      <c r="E53">
        <v>0</v>
      </c>
    </row>
    <row r="54" spans="1:5">
      <c r="A54">
        <v>53</v>
      </c>
      <c r="B54" t="s">
        <v>436</v>
      </c>
      <c r="C54">
        <v>2024</v>
      </c>
      <c r="D54">
        <v>9</v>
      </c>
      <c r="E54">
        <v>0</v>
      </c>
    </row>
    <row r="55" spans="1:5">
      <c r="A55">
        <v>54</v>
      </c>
      <c r="B55" t="s">
        <v>436</v>
      </c>
      <c r="C55">
        <v>2024</v>
      </c>
      <c r="D55">
        <v>9</v>
      </c>
      <c r="E55">
        <v>0</v>
      </c>
    </row>
    <row r="56" spans="1:5">
      <c r="A56">
        <v>1</v>
      </c>
      <c r="B56" t="s">
        <v>499</v>
      </c>
      <c r="C56">
        <v>2024</v>
      </c>
      <c r="D56">
        <v>9</v>
      </c>
      <c r="E56">
        <v>23</v>
      </c>
    </row>
    <row r="57" spans="1:5">
      <c r="A57">
        <v>2</v>
      </c>
      <c r="B57" t="s">
        <v>499</v>
      </c>
      <c r="C57">
        <v>2024</v>
      </c>
      <c r="D57">
        <v>9</v>
      </c>
      <c r="E57">
        <v>23</v>
      </c>
    </row>
    <row r="58" spans="1:5">
      <c r="A58">
        <v>3</v>
      </c>
      <c r="B58" t="s">
        <v>499</v>
      </c>
      <c r="C58">
        <v>2024</v>
      </c>
      <c r="D58">
        <v>9</v>
      </c>
      <c r="E58">
        <v>94.62</v>
      </c>
    </row>
    <row r="59" spans="1:5">
      <c r="A59">
        <v>4</v>
      </c>
      <c r="B59" t="s">
        <v>499</v>
      </c>
      <c r="C59">
        <v>2024</v>
      </c>
      <c r="D59">
        <v>9</v>
      </c>
      <c r="E59">
        <v>3</v>
      </c>
    </row>
    <row r="60" spans="1:5">
      <c r="A60">
        <v>5</v>
      </c>
      <c r="B60" t="s">
        <v>499</v>
      </c>
      <c r="C60">
        <v>2024</v>
      </c>
      <c r="D60">
        <v>9</v>
      </c>
      <c r="E60">
        <v>0.13</v>
      </c>
    </row>
    <row r="61" spans="1:5">
      <c r="A61">
        <v>6</v>
      </c>
      <c r="B61" t="s">
        <v>499</v>
      </c>
      <c r="C61">
        <v>2024</v>
      </c>
      <c r="D61">
        <v>9</v>
      </c>
      <c r="E61">
        <v>111</v>
      </c>
    </row>
    <row r="62" spans="1:5">
      <c r="A62">
        <v>7</v>
      </c>
      <c r="B62" t="s">
        <v>499</v>
      </c>
      <c r="C62">
        <v>2024</v>
      </c>
      <c r="D62">
        <v>9</v>
      </c>
      <c r="E62">
        <v>1.89</v>
      </c>
    </row>
    <row r="63" spans="1:5">
      <c r="A63">
        <v>8</v>
      </c>
      <c r="B63" t="s">
        <v>499</v>
      </c>
      <c r="C63">
        <v>2024</v>
      </c>
      <c r="D63">
        <v>9</v>
      </c>
      <c r="E63">
        <v>20</v>
      </c>
    </row>
    <row r="64" spans="1:5">
      <c r="A64">
        <v>9</v>
      </c>
      <c r="B64" t="s">
        <v>499</v>
      </c>
      <c r="C64">
        <v>2024</v>
      </c>
      <c r="D64">
        <v>9</v>
      </c>
      <c r="E64">
        <v>3.3</v>
      </c>
    </row>
    <row r="65" spans="1:6">
      <c r="A65">
        <v>10</v>
      </c>
      <c r="B65" t="s">
        <v>499</v>
      </c>
      <c r="C65">
        <v>2024</v>
      </c>
      <c r="D65">
        <v>9</v>
      </c>
      <c r="E65">
        <v>8</v>
      </c>
    </row>
    <row r="66" spans="1:6">
      <c r="A66">
        <v>11</v>
      </c>
      <c r="B66" t="s">
        <v>499</v>
      </c>
      <c r="C66">
        <v>2024</v>
      </c>
      <c r="D66">
        <v>9</v>
      </c>
      <c r="E66">
        <v>3</v>
      </c>
    </row>
    <row r="67" spans="1:6">
      <c r="A67">
        <v>12</v>
      </c>
      <c r="B67" t="s">
        <v>499</v>
      </c>
      <c r="C67">
        <v>2024</v>
      </c>
      <c r="D67">
        <v>9</v>
      </c>
      <c r="E67">
        <v>9</v>
      </c>
    </row>
    <row r="68" spans="1:6">
      <c r="A68">
        <v>13</v>
      </c>
      <c r="B68" t="s">
        <v>499</v>
      </c>
      <c r="C68">
        <v>2024</v>
      </c>
      <c r="D68">
        <v>9</v>
      </c>
      <c r="E68">
        <v>61</v>
      </c>
    </row>
    <row r="69" spans="1:6">
      <c r="A69">
        <v>14</v>
      </c>
      <c r="B69" t="s">
        <v>499</v>
      </c>
      <c r="C69">
        <v>2024</v>
      </c>
      <c r="D69">
        <v>9</v>
      </c>
      <c r="E69">
        <v>15</v>
      </c>
    </row>
    <row r="70" spans="1:6">
      <c r="A70">
        <v>15</v>
      </c>
      <c r="B70" t="s">
        <v>499</v>
      </c>
      <c r="C70">
        <v>2024</v>
      </c>
      <c r="D70">
        <v>9</v>
      </c>
      <c r="E70">
        <v>34</v>
      </c>
    </row>
    <row r="71" spans="1:6">
      <c r="A71">
        <v>16</v>
      </c>
      <c r="B71" t="s">
        <v>499</v>
      </c>
      <c r="C71">
        <v>2024</v>
      </c>
      <c r="D71">
        <v>9</v>
      </c>
      <c r="E71">
        <v>0</v>
      </c>
    </row>
    <row r="72" spans="1:6">
      <c r="A72">
        <v>17</v>
      </c>
      <c r="B72" t="s">
        <v>499</v>
      </c>
      <c r="C72">
        <v>2024</v>
      </c>
      <c r="D72">
        <v>9</v>
      </c>
      <c r="E72">
        <v>463</v>
      </c>
    </row>
    <row r="73" spans="1:6">
      <c r="A73">
        <v>18</v>
      </c>
      <c r="B73" t="s">
        <v>499</v>
      </c>
      <c r="C73">
        <v>2024</v>
      </c>
      <c r="D73">
        <v>9</v>
      </c>
      <c r="E73">
        <v>171</v>
      </c>
    </row>
    <row r="74" spans="1:6">
      <c r="A74">
        <v>19</v>
      </c>
      <c r="B74" t="s">
        <v>499</v>
      </c>
      <c r="C74">
        <v>2024</v>
      </c>
      <c r="D74">
        <v>9</v>
      </c>
      <c r="E74">
        <v>58</v>
      </c>
    </row>
    <row r="75" spans="1:6">
      <c r="A75">
        <v>20</v>
      </c>
      <c r="B75" t="s">
        <v>499</v>
      </c>
      <c r="C75">
        <v>2024</v>
      </c>
      <c r="D75">
        <v>9</v>
      </c>
      <c r="E75">
        <v>75</v>
      </c>
    </row>
    <row r="76" spans="1:6">
      <c r="A76">
        <v>21</v>
      </c>
      <c r="B76" t="s">
        <v>499</v>
      </c>
      <c r="C76">
        <v>2024</v>
      </c>
      <c r="D76">
        <v>9</v>
      </c>
      <c r="E76">
        <v>38</v>
      </c>
    </row>
    <row r="77" spans="1:6">
      <c r="A77">
        <v>22</v>
      </c>
      <c r="B77" t="s">
        <v>499</v>
      </c>
      <c r="C77">
        <v>2024</v>
      </c>
      <c r="D77">
        <v>9</v>
      </c>
      <c r="E77">
        <v>0.33918100000000001</v>
      </c>
    </row>
    <row r="78" spans="1:6">
      <c r="A78">
        <v>23</v>
      </c>
      <c r="B78" t="s">
        <v>499</v>
      </c>
      <c r="C78">
        <v>2024</v>
      </c>
      <c r="D78">
        <v>9</v>
      </c>
      <c r="E78">
        <v>0.43859599999999999</v>
      </c>
    </row>
    <row r="79" spans="1:6">
      <c r="A79">
        <v>24</v>
      </c>
      <c r="B79" t="s">
        <v>499</v>
      </c>
      <c r="C79">
        <v>2024</v>
      </c>
      <c r="D79">
        <v>9</v>
      </c>
      <c r="E79">
        <v>0.222222</v>
      </c>
    </row>
    <row r="80" spans="1:6">
      <c r="A80">
        <v>25</v>
      </c>
      <c r="B80" t="s">
        <v>499</v>
      </c>
      <c r="C80">
        <v>2024</v>
      </c>
      <c r="D80">
        <v>9</v>
      </c>
      <c r="E80">
        <v>47</v>
      </c>
      <c r="F80" t="s">
        <v>465</v>
      </c>
    </row>
    <row r="81" spans="1:6">
      <c r="A81">
        <v>26</v>
      </c>
      <c r="B81" t="s">
        <v>499</v>
      </c>
      <c r="C81">
        <v>2024</v>
      </c>
      <c r="D81">
        <v>9</v>
      </c>
      <c r="E81">
        <v>41</v>
      </c>
      <c r="F81" t="s">
        <v>463</v>
      </c>
    </row>
    <row r="82" spans="1:6">
      <c r="A82">
        <v>27</v>
      </c>
      <c r="B82" t="s">
        <v>499</v>
      </c>
      <c r="C82">
        <v>2024</v>
      </c>
      <c r="D82">
        <v>9</v>
      </c>
      <c r="E82">
        <v>33</v>
      </c>
      <c r="F82" t="s">
        <v>461</v>
      </c>
    </row>
    <row r="83" spans="1:6">
      <c r="A83">
        <v>28</v>
      </c>
      <c r="B83" t="s">
        <v>499</v>
      </c>
      <c r="C83">
        <v>2024</v>
      </c>
      <c r="D83">
        <v>9</v>
      </c>
      <c r="E83">
        <v>102</v>
      </c>
    </row>
    <row r="84" spans="1:6">
      <c r="A84">
        <v>29</v>
      </c>
      <c r="B84" t="s">
        <v>499</v>
      </c>
      <c r="C84">
        <v>2024</v>
      </c>
      <c r="D84">
        <v>9</v>
      </c>
      <c r="E84">
        <v>0.86</v>
      </c>
    </row>
    <row r="85" spans="1:6">
      <c r="A85">
        <v>30</v>
      </c>
      <c r="B85" t="s">
        <v>499</v>
      </c>
      <c r="C85">
        <v>2024</v>
      </c>
      <c r="D85">
        <v>9</v>
      </c>
      <c r="E85">
        <v>0</v>
      </c>
    </row>
    <row r="86" spans="1:6">
      <c r="A86">
        <v>31</v>
      </c>
      <c r="B86" t="s">
        <v>499</v>
      </c>
      <c r="C86">
        <v>2024</v>
      </c>
      <c r="D86">
        <v>9</v>
      </c>
      <c r="E86">
        <v>0</v>
      </c>
    </row>
    <row r="87" spans="1:6">
      <c r="A87">
        <v>32</v>
      </c>
      <c r="B87" t="s">
        <v>499</v>
      </c>
      <c r="C87">
        <v>2024</v>
      </c>
      <c r="D87">
        <v>9</v>
      </c>
      <c r="E87">
        <v>0</v>
      </c>
    </row>
    <row r="88" spans="1:6">
      <c r="A88">
        <v>33</v>
      </c>
      <c r="B88" t="s">
        <v>499</v>
      </c>
      <c r="C88">
        <v>2024</v>
      </c>
      <c r="D88">
        <v>9</v>
      </c>
      <c r="E88">
        <v>0</v>
      </c>
    </row>
    <row r="89" spans="1:6">
      <c r="A89">
        <v>34</v>
      </c>
      <c r="B89" t="s">
        <v>499</v>
      </c>
      <c r="C89">
        <v>2024</v>
      </c>
      <c r="D89">
        <v>9</v>
      </c>
      <c r="E89">
        <v>0</v>
      </c>
    </row>
    <row r="90" spans="1:6">
      <c r="A90">
        <v>35</v>
      </c>
      <c r="B90" t="s">
        <v>499</v>
      </c>
      <c r="C90">
        <v>2024</v>
      </c>
      <c r="D90">
        <v>9</v>
      </c>
      <c r="E90">
        <v>0</v>
      </c>
    </row>
    <row r="91" spans="1:6">
      <c r="A91">
        <v>36</v>
      </c>
      <c r="B91" t="s">
        <v>499</v>
      </c>
      <c r="C91">
        <v>2024</v>
      </c>
      <c r="D91">
        <v>9</v>
      </c>
      <c r="E91">
        <v>0</v>
      </c>
    </row>
    <row r="92" spans="1:6">
      <c r="A92">
        <v>37</v>
      </c>
      <c r="B92" t="s">
        <v>499</v>
      </c>
      <c r="C92">
        <v>2024</v>
      </c>
      <c r="D92">
        <v>9</v>
      </c>
      <c r="E92">
        <v>0</v>
      </c>
    </row>
    <row r="93" spans="1:6">
      <c r="A93">
        <v>38</v>
      </c>
      <c r="B93" t="s">
        <v>499</v>
      </c>
      <c r="C93">
        <v>2024</v>
      </c>
      <c r="D93">
        <v>9</v>
      </c>
      <c r="E93">
        <v>0</v>
      </c>
    </row>
    <row r="94" spans="1:6">
      <c r="A94">
        <v>39</v>
      </c>
      <c r="B94" t="s">
        <v>499</v>
      </c>
      <c r="C94">
        <v>2024</v>
      </c>
      <c r="D94">
        <v>9</v>
      </c>
      <c r="E94">
        <v>0</v>
      </c>
    </row>
    <row r="95" spans="1:6">
      <c r="A95">
        <v>40</v>
      </c>
      <c r="B95" t="s">
        <v>499</v>
      </c>
      <c r="C95">
        <v>2024</v>
      </c>
      <c r="D95">
        <v>9</v>
      </c>
      <c r="E95">
        <v>0</v>
      </c>
    </row>
    <row r="96" spans="1:6">
      <c r="A96">
        <v>41</v>
      </c>
      <c r="B96" t="s">
        <v>499</v>
      </c>
      <c r="C96">
        <v>2024</v>
      </c>
      <c r="D96">
        <v>9</v>
      </c>
      <c r="E96">
        <v>0</v>
      </c>
    </row>
    <row r="97" spans="1:5">
      <c r="A97">
        <v>42</v>
      </c>
      <c r="B97" t="s">
        <v>499</v>
      </c>
      <c r="C97">
        <v>2024</v>
      </c>
      <c r="D97">
        <v>9</v>
      </c>
      <c r="E97">
        <v>0</v>
      </c>
    </row>
    <row r="98" spans="1:5">
      <c r="A98">
        <v>43</v>
      </c>
      <c r="B98" t="s">
        <v>499</v>
      </c>
      <c r="C98">
        <v>2024</v>
      </c>
      <c r="D98">
        <v>9</v>
      </c>
      <c r="E98">
        <v>0</v>
      </c>
    </row>
    <row r="99" spans="1:5">
      <c r="A99">
        <v>44</v>
      </c>
      <c r="B99" t="s">
        <v>499</v>
      </c>
      <c r="C99">
        <v>2024</v>
      </c>
      <c r="D99">
        <v>9</v>
      </c>
      <c r="E99">
        <v>0</v>
      </c>
    </row>
    <row r="100" spans="1:5">
      <c r="A100">
        <v>45</v>
      </c>
      <c r="B100" t="s">
        <v>499</v>
      </c>
      <c r="C100">
        <v>2024</v>
      </c>
      <c r="D100">
        <v>9</v>
      </c>
      <c r="E100">
        <v>0</v>
      </c>
    </row>
    <row r="101" spans="1:5">
      <c r="A101">
        <v>46</v>
      </c>
      <c r="B101" t="s">
        <v>499</v>
      </c>
      <c r="C101">
        <v>2024</v>
      </c>
      <c r="D101">
        <v>9</v>
      </c>
      <c r="E101">
        <v>0</v>
      </c>
    </row>
    <row r="102" spans="1:5">
      <c r="A102">
        <v>47</v>
      </c>
      <c r="B102" t="s">
        <v>499</v>
      </c>
      <c r="C102">
        <v>2024</v>
      </c>
      <c r="D102">
        <v>9</v>
      </c>
      <c r="E102">
        <v>0</v>
      </c>
    </row>
    <row r="103" spans="1:5">
      <c r="A103">
        <v>48</v>
      </c>
      <c r="B103" t="s">
        <v>499</v>
      </c>
      <c r="C103">
        <v>2024</v>
      </c>
      <c r="D103">
        <v>9</v>
      </c>
      <c r="E103">
        <v>0</v>
      </c>
    </row>
    <row r="104" spans="1:5">
      <c r="A104">
        <v>49</v>
      </c>
      <c r="B104" t="s">
        <v>499</v>
      </c>
      <c r="C104">
        <v>2024</v>
      </c>
      <c r="D104">
        <v>9</v>
      </c>
      <c r="E104">
        <v>0</v>
      </c>
    </row>
    <row r="105" spans="1:5">
      <c r="A105">
        <v>50</v>
      </c>
      <c r="B105" t="s">
        <v>499</v>
      </c>
      <c r="C105">
        <v>2024</v>
      </c>
      <c r="D105">
        <v>9</v>
      </c>
      <c r="E105">
        <v>0</v>
      </c>
    </row>
    <row r="106" spans="1:5">
      <c r="A106">
        <v>51</v>
      </c>
      <c r="B106" t="s">
        <v>499</v>
      </c>
      <c r="C106">
        <v>2024</v>
      </c>
      <c r="D106">
        <v>9</v>
      </c>
      <c r="E106">
        <v>0</v>
      </c>
    </row>
    <row r="107" spans="1:5">
      <c r="A107">
        <v>52</v>
      </c>
      <c r="B107" t="s">
        <v>499</v>
      </c>
      <c r="C107">
        <v>2024</v>
      </c>
      <c r="D107">
        <v>9</v>
      </c>
      <c r="E107">
        <v>0</v>
      </c>
    </row>
    <row r="108" spans="1:5">
      <c r="A108">
        <v>53</v>
      </c>
      <c r="B108" t="s">
        <v>499</v>
      </c>
      <c r="C108">
        <v>2024</v>
      </c>
      <c r="D108">
        <v>9</v>
      </c>
      <c r="E108">
        <v>0</v>
      </c>
    </row>
    <row r="109" spans="1:5">
      <c r="A109">
        <v>54</v>
      </c>
      <c r="B109" t="s">
        <v>499</v>
      </c>
      <c r="C109">
        <v>2024</v>
      </c>
      <c r="D109">
        <v>9</v>
      </c>
      <c r="E109">
        <v>0</v>
      </c>
    </row>
    <row r="110" spans="1:5">
      <c r="A110">
        <v>1</v>
      </c>
      <c r="B110" t="s">
        <v>503</v>
      </c>
      <c r="C110">
        <v>2024</v>
      </c>
      <c r="D110">
        <v>9</v>
      </c>
      <c r="E110">
        <v>9</v>
      </c>
    </row>
    <row r="111" spans="1:5">
      <c r="A111">
        <v>2</v>
      </c>
      <c r="B111" t="s">
        <v>503</v>
      </c>
      <c r="C111">
        <v>2024</v>
      </c>
      <c r="D111">
        <v>9</v>
      </c>
      <c r="E111">
        <v>9</v>
      </c>
    </row>
    <row r="112" spans="1:5">
      <c r="A112">
        <v>3</v>
      </c>
      <c r="B112" t="s">
        <v>503</v>
      </c>
      <c r="C112">
        <v>2024</v>
      </c>
      <c r="D112">
        <v>9</v>
      </c>
      <c r="E112">
        <v>97.88</v>
      </c>
    </row>
    <row r="113" spans="1:5">
      <c r="A113">
        <v>4</v>
      </c>
      <c r="B113" t="s">
        <v>503</v>
      </c>
      <c r="C113">
        <v>2024</v>
      </c>
      <c r="D113">
        <v>9</v>
      </c>
      <c r="E113">
        <v>0</v>
      </c>
    </row>
    <row r="114" spans="1:5">
      <c r="A114">
        <v>5</v>
      </c>
      <c r="B114" t="s">
        <v>503</v>
      </c>
      <c r="C114">
        <v>2024</v>
      </c>
      <c r="D114">
        <v>9</v>
      </c>
      <c r="E114">
        <v>0</v>
      </c>
    </row>
    <row r="115" spans="1:5">
      <c r="A115">
        <v>6</v>
      </c>
      <c r="B115" t="s">
        <v>503</v>
      </c>
      <c r="C115">
        <v>2024</v>
      </c>
      <c r="D115">
        <v>9</v>
      </c>
      <c r="E115">
        <v>19</v>
      </c>
    </row>
    <row r="116" spans="1:5">
      <c r="A116">
        <v>7</v>
      </c>
      <c r="B116" t="s">
        <v>503</v>
      </c>
      <c r="C116">
        <v>2024</v>
      </c>
      <c r="D116">
        <v>9</v>
      </c>
      <c r="E116">
        <v>2.84</v>
      </c>
    </row>
    <row r="117" spans="1:5">
      <c r="A117">
        <v>8</v>
      </c>
      <c r="B117" t="s">
        <v>503</v>
      </c>
      <c r="C117">
        <v>2024</v>
      </c>
      <c r="D117">
        <v>9</v>
      </c>
      <c r="E117">
        <v>0</v>
      </c>
    </row>
    <row r="118" spans="1:5">
      <c r="A118">
        <v>9</v>
      </c>
      <c r="B118" t="s">
        <v>503</v>
      </c>
      <c r="C118">
        <v>2024</v>
      </c>
      <c r="D118">
        <v>9</v>
      </c>
      <c r="E118">
        <v>0</v>
      </c>
    </row>
    <row r="119" spans="1:5">
      <c r="A119">
        <v>10</v>
      </c>
      <c r="B119" t="s">
        <v>503</v>
      </c>
      <c r="C119">
        <v>2024</v>
      </c>
      <c r="D119">
        <v>9</v>
      </c>
      <c r="E119">
        <v>0</v>
      </c>
    </row>
    <row r="120" spans="1:5">
      <c r="A120">
        <v>11</v>
      </c>
      <c r="B120" t="s">
        <v>503</v>
      </c>
      <c r="C120">
        <v>2024</v>
      </c>
      <c r="D120">
        <v>9</v>
      </c>
      <c r="E120">
        <v>0</v>
      </c>
    </row>
    <row r="121" spans="1:5">
      <c r="A121">
        <v>12</v>
      </c>
      <c r="B121" t="s">
        <v>503</v>
      </c>
      <c r="C121">
        <v>2024</v>
      </c>
      <c r="D121">
        <v>9</v>
      </c>
      <c r="E121">
        <v>0</v>
      </c>
    </row>
    <row r="122" spans="1:5">
      <c r="A122">
        <v>13</v>
      </c>
      <c r="B122" t="s">
        <v>503</v>
      </c>
      <c r="C122">
        <v>2024</v>
      </c>
      <c r="D122">
        <v>9</v>
      </c>
      <c r="E122">
        <v>7</v>
      </c>
    </row>
    <row r="123" spans="1:5">
      <c r="A123">
        <v>14</v>
      </c>
      <c r="B123" t="s">
        <v>503</v>
      </c>
      <c r="C123">
        <v>2024</v>
      </c>
      <c r="D123">
        <v>9</v>
      </c>
      <c r="E123">
        <v>3</v>
      </c>
    </row>
    <row r="124" spans="1:5">
      <c r="A124">
        <v>15</v>
      </c>
      <c r="B124" t="s">
        <v>503</v>
      </c>
      <c r="C124">
        <v>2024</v>
      </c>
      <c r="D124">
        <v>9</v>
      </c>
      <c r="E124">
        <v>7</v>
      </c>
    </row>
    <row r="125" spans="1:5">
      <c r="A125">
        <v>16</v>
      </c>
      <c r="B125" t="s">
        <v>503</v>
      </c>
      <c r="C125">
        <v>2024</v>
      </c>
      <c r="D125">
        <v>9</v>
      </c>
      <c r="E125">
        <v>0</v>
      </c>
    </row>
    <row r="126" spans="1:5">
      <c r="A126">
        <v>17</v>
      </c>
      <c r="B126" t="s">
        <v>503</v>
      </c>
      <c r="C126">
        <v>2024</v>
      </c>
      <c r="D126">
        <v>9</v>
      </c>
      <c r="E126">
        <v>460</v>
      </c>
    </row>
    <row r="127" spans="1:5">
      <c r="A127">
        <v>18</v>
      </c>
      <c r="B127" t="s">
        <v>503</v>
      </c>
      <c r="C127">
        <v>2024</v>
      </c>
      <c r="D127">
        <v>9</v>
      </c>
      <c r="E127">
        <v>195</v>
      </c>
    </row>
    <row r="128" spans="1:5">
      <c r="A128">
        <v>19</v>
      </c>
      <c r="B128" t="s">
        <v>503</v>
      </c>
      <c r="C128">
        <v>2024</v>
      </c>
      <c r="D128">
        <v>9</v>
      </c>
      <c r="E128">
        <v>38</v>
      </c>
    </row>
    <row r="129" spans="1:6">
      <c r="A129">
        <v>20</v>
      </c>
      <c r="B129" t="s">
        <v>503</v>
      </c>
      <c r="C129">
        <v>2024</v>
      </c>
      <c r="D129">
        <v>9</v>
      </c>
      <c r="E129">
        <v>105</v>
      </c>
    </row>
    <row r="130" spans="1:6">
      <c r="A130">
        <v>21</v>
      </c>
      <c r="B130" t="s">
        <v>503</v>
      </c>
      <c r="C130">
        <v>2024</v>
      </c>
      <c r="D130">
        <v>9</v>
      </c>
      <c r="E130">
        <v>52</v>
      </c>
    </row>
    <row r="131" spans="1:6">
      <c r="A131">
        <v>22</v>
      </c>
      <c r="B131" t="s">
        <v>503</v>
      </c>
      <c r="C131">
        <v>2024</v>
      </c>
      <c r="D131">
        <v>9</v>
      </c>
      <c r="E131">
        <v>0.19487199999999999</v>
      </c>
    </row>
    <row r="132" spans="1:6">
      <c r="A132">
        <v>23</v>
      </c>
      <c r="B132" t="s">
        <v>503</v>
      </c>
      <c r="C132">
        <v>2024</v>
      </c>
      <c r="D132">
        <v>9</v>
      </c>
      <c r="E132">
        <v>0.538462</v>
      </c>
    </row>
    <row r="133" spans="1:6">
      <c r="A133">
        <v>24</v>
      </c>
      <c r="B133" t="s">
        <v>503</v>
      </c>
      <c r="C133">
        <v>2024</v>
      </c>
      <c r="D133">
        <v>9</v>
      </c>
      <c r="E133">
        <v>0.26666699999999999</v>
      </c>
    </row>
    <row r="134" spans="1:6">
      <c r="A134">
        <v>25</v>
      </c>
      <c r="B134" t="s">
        <v>503</v>
      </c>
      <c r="C134">
        <v>2024</v>
      </c>
      <c r="D134">
        <v>9</v>
      </c>
      <c r="E134">
        <v>76</v>
      </c>
      <c r="F134" t="s">
        <v>504</v>
      </c>
    </row>
    <row r="135" spans="1:6">
      <c r="A135">
        <v>26</v>
      </c>
      <c r="B135" t="s">
        <v>503</v>
      </c>
      <c r="C135">
        <v>2024</v>
      </c>
      <c r="D135">
        <v>9</v>
      </c>
      <c r="E135">
        <v>57</v>
      </c>
      <c r="F135" t="s">
        <v>461</v>
      </c>
    </row>
    <row r="136" spans="1:6">
      <c r="A136">
        <v>27</v>
      </c>
      <c r="B136" t="s">
        <v>503</v>
      </c>
      <c r="C136">
        <v>2024</v>
      </c>
      <c r="D136">
        <v>9</v>
      </c>
      <c r="E136">
        <v>18</v>
      </c>
      <c r="F136" t="s">
        <v>505</v>
      </c>
    </row>
    <row r="137" spans="1:6">
      <c r="A137">
        <v>28</v>
      </c>
      <c r="B137" t="s">
        <v>503</v>
      </c>
      <c r="C137">
        <v>2024</v>
      </c>
      <c r="D137">
        <v>9</v>
      </c>
      <c r="E137">
        <v>88</v>
      </c>
    </row>
    <row r="138" spans="1:6">
      <c r="A138">
        <v>29</v>
      </c>
      <c r="B138" t="s">
        <v>503</v>
      </c>
      <c r="C138">
        <v>2024</v>
      </c>
      <c r="D138">
        <v>9</v>
      </c>
      <c r="E138">
        <v>0.88</v>
      </c>
    </row>
    <row r="139" spans="1:6">
      <c r="A139">
        <v>30</v>
      </c>
      <c r="B139" t="s">
        <v>503</v>
      </c>
      <c r="C139">
        <v>2024</v>
      </c>
      <c r="D139">
        <v>9</v>
      </c>
      <c r="E139">
        <v>0</v>
      </c>
    </row>
    <row r="140" spans="1:6">
      <c r="A140">
        <v>31</v>
      </c>
      <c r="B140" t="s">
        <v>503</v>
      </c>
      <c r="C140">
        <v>2024</v>
      </c>
      <c r="D140">
        <v>9</v>
      </c>
      <c r="E140">
        <v>0</v>
      </c>
    </row>
    <row r="141" spans="1:6">
      <c r="A141">
        <v>32</v>
      </c>
      <c r="B141" t="s">
        <v>503</v>
      </c>
      <c r="C141">
        <v>2024</v>
      </c>
      <c r="D141">
        <v>9</v>
      </c>
      <c r="E141">
        <v>0</v>
      </c>
    </row>
    <row r="142" spans="1:6">
      <c r="A142">
        <v>33</v>
      </c>
      <c r="B142" t="s">
        <v>503</v>
      </c>
      <c r="C142">
        <v>2024</v>
      </c>
      <c r="D142">
        <v>9</v>
      </c>
      <c r="E142">
        <v>0</v>
      </c>
    </row>
    <row r="143" spans="1:6">
      <c r="A143">
        <v>34</v>
      </c>
      <c r="B143" t="s">
        <v>503</v>
      </c>
      <c r="C143">
        <v>2024</v>
      </c>
      <c r="D143">
        <v>9</v>
      </c>
      <c r="E143">
        <v>0</v>
      </c>
    </row>
    <row r="144" spans="1:6">
      <c r="A144">
        <v>35</v>
      </c>
      <c r="B144" t="s">
        <v>503</v>
      </c>
      <c r="C144">
        <v>2024</v>
      </c>
      <c r="D144">
        <v>9</v>
      </c>
      <c r="E144">
        <v>0</v>
      </c>
    </row>
    <row r="145" spans="1:5">
      <c r="A145">
        <v>36</v>
      </c>
      <c r="B145" t="s">
        <v>503</v>
      </c>
      <c r="C145">
        <v>2024</v>
      </c>
      <c r="D145">
        <v>9</v>
      </c>
      <c r="E145">
        <v>0</v>
      </c>
    </row>
    <row r="146" spans="1:5">
      <c r="A146">
        <v>37</v>
      </c>
      <c r="B146" t="s">
        <v>503</v>
      </c>
      <c r="C146">
        <v>2024</v>
      </c>
      <c r="D146">
        <v>9</v>
      </c>
      <c r="E146">
        <v>0</v>
      </c>
    </row>
    <row r="147" spans="1:5">
      <c r="A147">
        <v>38</v>
      </c>
      <c r="B147" t="s">
        <v>503</v>
      </c>
      <c r="C147">
        <v>2024</v>
      </c>
      <c r="D147">
        <v>9</v>
      </c>
      <c r="E147">
        <v>0</v>
      </c>
    </row>
    <row r="148" spans="1:5">
      <c r="A148">
        <v>39</v>
      </c>
      <c r="B148" t="s">
        <v>503</v>
      </c>
      <c r="C148">
        <v>2024</v>
      </c>
      <c r="D148">
        <v>9</v>
      </c>
      <c r="E148">
        <v>0</v>
      </c>
    </row>
    <row r="149" spans="1:5">
      <c r="A149">
        <v>40</v>
      </c>
      <c r="B149" t="s">
        <v>503</v>
      </c>
      <c r="C149">
        <v>2024</v>
      </c>
      <c r="D149">
        <v>9</v>
      </c>
      <c r="E149">
        <v>0</v>
      </c>
    </row>
    <row r="150" spans="1:5">
      <c r="A150">
        <v>41</v>
      </c>
      <c r="B150" t="s">
        <v>503</v>
      </c>
      <c r="C150">
        <v>2024</v>
      </c>
      <c r="D150">
        <v>9</v>
      </c>
      <c r="E150">
        <v>0</v>
      </c>
    </row>
    <row r="151" spans="1:5">
      <c r="A151">
        <v>42</v>
      </c>
      <c r="B151" t="s">
        <v>503</v>
      </c>
      <c r="C151">
        <v>2024</v>
      </c>
      <c r="D151">
        <v>9</v>
      </c>
      <c r="E151">
        <v>0</v>
      </c>
    </row>
    <row r="152" spans="1:5">
      <c r="A152">
        <v>43</v>
      </c>
      <c r="B152" t="s">
        <v>503</v>
      </c>
      <c r="C152">
        <v>2024</v>
      </c>
      <c r="D152">
        <v>9</v>
      </c>
      <c r="E152">
        <v>0</v>
      </c>
    </row>
    <row r="153" spans="1:5">
      <c r="A153">
        <v>44</v>
      </c>
      <c r="B153" t="s">
        <v>503</v>
      </c>
      <c r="C153">
        <v>2024</v>
      </c>
      <c r="D153">
        <v>9</v>
      </c>
      <c r="E153">
        <v>0</v>
      </c>
    </row>
    <row r="154" spans="1:5">
      <c r="A154">
        <v>45</v>
      </c>
      <c r="B154" t="s">
        <v>503</v>
      </c>
      <c r="C154">
        <v>2024</v>
      </c>
      <c r="D154">
        <v>9</v>
      </c>
      <c r="E154">
        <v>0</v>
      </c>
    </row>
    <row r="155" spans="1:5">
      <c r="A155">
        <v>46</v>
      </c>
      <c r="B155" t="s">
        <v>503</v>
      </c>
      <c r="C155">
        <v>2024</v>
      </c>
      <c r="D155">
        <v>9</v>
      </c>
      <c r="E155">
        <v>0</v>
      </c>
    </row>
    <row r="156" spans="1:5">
      <c r="A156">
        <v>47</v>
      </c>
      <c r="B156" t="s">
        <v>503</v>
      </c>
      <c r="C156">
        <v>2024</v>
      </c>
      <c r="D156">
        <v>9</v>
      </c>
      <c r="E156">
        <v>0</v>
      </c>
    </row>
    <row r="157" spans="1:5">
      <c r="A157">
        <v>48</v>
      </c>
      <c r="B157" t="s">
        <v>503</v>
      </c>
      <c r="C157">
        <v>2024</v>
      </c>
      <c r="D157">
        <v>9</v>
      </c>
      <c r="E157">
        <v>0</v>
      </c>
    </row>
    <row r="158" spans="1:5">
      <c r="A158">
        <v>49</v>
      </c>
      <c r="B158" t="s">
        <v>503</v>
      </c>
      <c r="C158">
        <v>2024</v>
      </c>
      <c r="D158">
        <v>9</v>
      </c>
      <c r="E158">
        <v>0</v>
      </c>
    </row>
    <row r="159" spans="1:5">
      <c r="A159">
        <v>50</v>
      </c>
      <c r="B159" t="s">
        <v>503</v>
      </c>
      <c r="C159">
        <v>2024</v>
      </c>
      <c r="D159">
        <v>9</v>
      </c>
      <c r="E159">
        <v>0</v>
      </c>
    </row>
    <row r="160" spans="1:5">
      <c r="A160">
        <v>51</v>
      </c>
      <c r="B160" t="s">
        <v>503</v>
      </c>
      <c r="C160">
        <v>2024</v>
      </c>
      <c r="D160">
        <v>9</v>
      </c>
      <c r="E160">
        <v>0</v>
      </c>
    </row>
    <row r="161" spans="1:5">
      <c r="A161">
        <v>52</v>
      </c>
      <c r="B161" t="s">
        <v>503</v>
      </c>
      <c r="C161">
        <v>2024</v>
      </c>
      <c r="D161">
        <v>9</v>
      </c>
      <c r="E161">
        <v>0</v>
      </c>
    </row>
    <row r="162" spans="1:5">
      <c r="A162">
        <v>53</v>
      </c>
      <c r="B162" t="s">
        <v>503</v>
      </c>
      <c r="C162">
        <v>2024</v>
      </c>
      <c r="D162">
        <v>9</v>
      </c>
      <c r="E162">
        <v>0</v>
      </c>
    </row>
    <row r="163" spans="1:5">
      <c r="A163">
        <v>54</v>
      </c>
      <c r="B163" t="s">
        <v>503</v>
      </c>
      <c r="C163">
        <v>2024</v>
      </c>
      <c r="D163">
        <v>9</v>
      </c>
      <c r="E163">
        <v>0</v>
      </c>
    </row>
    <row r="164" spans="1:5">
      <c r="A164">
        <v>1</v>
      </c>
      <c r="B164" t="s">
        <v>511</v>
      </c>
      <c r="C164">
        <v>2024</v>
      </c>
      <c r="D164">
        <v>9</v>
      </c>
      <c r="E164">
        <v>29</v>
      </c>
    </row>
    <row r="165" spans="1:5">
      <c r="A165">
        <v>2</v>
      </c>
      <c r="B165" t="s">
        <v>511</v>
      </c>
      <c r="C165">
        <v>2024</v>
      </c>
      <c r="D165">
        <v>9</v>
      </c>
      <c r="E165">
        <v>26</v>
      </c>
    </row>
    <row r="166" spans="1:5">
      <c r="A166">
        <v>3</v>
      </c>
      <c r="B166" t="s">
        <v>511</v>
      </c>
      <c r="C166">
        <v>2024</v>
      </c>
      <c r="D166">
        <v>9</v>
      </c>
      <c r="E166">
        <v>94.58</v>
      </c>
    </row>
    <row r="167" spans="1:5">
      <c r="A167">
        <v>4</v>
      </c>
      <c r="B167" t="s">
        <v>511</v>
      </c>
      <c r="C167">
        <v>2024</v>
      </c>
      <c r="D167">
        <v>9</v>
      </c>
      <c r="E167">
        <v>3</v>
      </c>
    </row>
    <row r="168" spans="1:5">
      <c r="A168">
        <v>5</v>
      </c>
      <c r="B168" t="s">
        <v>511</v>
      </c>
      <c r="C168">
        <v>2024</v>
      </c>
      <c r="D168">
        <v>9</v>
      </c>
      <c r="E168">
        <v>0.1</v>
      </c>
    </row>
    <row r="169" spans="1:5">
      <c r="A169">
        <v>6</v>
      </c>
      <c r="B169" t="s">
        <v>511</v>
      </c>
      <c r="C169">
        <v>2024</v>
      </c>
      <c r="D169">
        <v>9</v>
      </c>
      <c r="E169">
        <v>113</v>
      </c>
    </row>
    <row r="170" spans="1:5">
      <c r="A170">
        <v>7</v>
      </c>
      <c r="B170" t="s">
        <v>511</v>
      </c>
      <c r="C170">
        <v>2024</v>
      </c>
      <c r="D170">
        <v>9</v>
      </c>
      <c r="E170">
        <v>2.38</v>
      </c>
    </row>
    <row r="171" spans="1:5">
      <c r="A171">
        <v>8</v>
      </c>
      <c r="B171" t="s">
        <v>511</v>
      </c>
      <c r="C171">
        <v>2024</v>
      </c>
      <c r="D171">
        <v>9</v>
      </c>
      <c r="E171">
        <v>30</v>
      </c>
    </row>
    <row r="172" spans="1:5">
      <c r="A172">
        <v>9</v>
      </c>
      <c r="B172" t="s">
        <v>511</v>
      </c>
      <c r="C172">
        <v>2024</v>
      </c>
      <c r="D172">
        <v>9</v>
      </c>
      <c r="E172">
        <v>1.85</v>
      </c>
    </row>
    <row r="173" spans="1:5">
      <c r="A173">
        <v>10</v>
      </c>
      <c r="B173" t="s">
        <v>511</v>
      </c>
      <c r="C173">
        <v>2024</v>
      </c>
      <c r="D173">
        <v>9</v>
      </c>
      <c r="E173">
        <v>9</v>
      </c>
    </row>
    <row r="174" spans="1:5">
      <c r="A174">
        <v>11</v>
      </c>
      <c r="B174" t="s">
        <v>511</v>
      </c>
      <c r="C174">
        <v>2024</v>
      </c>
      <c r="D174">
        <v>9</v>
      </c>
      <c r="E174">
        <v>3</v>
      </c>
    </row>
    <row r="175" spans="1:5">
      <c r="A175">
        <v>12</v>
      </c>
      <c r="B175" t="s">
        <v>511</v>
      </c>
      <c r="C175">
        <v>2024</v>
      </c>
      <c r="D175">
        <v>9</v>
      </c>
      <c r="E175">
        <v>14</v>
      </c>
    </row>
    <row r="176" spans="1:5">
      <c r="A176">
        <v>13</v>
      </c>
      <c r="B176" t="s">
        <v>511</v>
      </c>
      <c r="C176">
        <v>2024</v>
      </c>
      <c r="D176">
        <v>9</v>
      </c>
      <c r="E176">
        <v>74</v>
      </c>
    </row>
    <row r="177" spans="1:6">
      <c r="A177">
        <v>14</v>
      </c>
      <c r="B177" t="s">
        <v>511</v>
      </c>
      <c r="C177">
        <v>2024</v>
      </c>
      <c r="D177">
        <v>9</v>
      </c>
      <c r="E177">
        <v>10</v>
      </c>
    </row>
    <row r="178" spans="1:6">
      <c r="A178">
        <v>15</v>
      </c>
      <c r="B178" t="s">
        <v>511</v>
      </c>
      <c r="C178">
        <v>2024</v>
      </c>
      <c r="D178">
        <v>9</v>
      </c>
      <c r="E178">
        <v>43</v>
      </c>
    </row>
    <row r="179" spans="1:6">
      <c r="A179">
        <v>16</v>
      </c>
      <c r="B179" t="s">
        <v>511</v>
      </c>
      <c r="C179">
        <v>2024</v>
      </c>
      <c r="D179">
        <v>9</v>
      </c>
      <c r="E179">
        <v>2</v>
      </c>
    </row>
    <row r="180" spans="1:6">
      <c r="A180">
        <v>17</v>
      </c>
      <c r="B180" t="s">
        <v>511</v>
      </c>
      <c r="C180">
        <v>2024</v>
      </c>
      <c r="D180">
        <v>9</v>
      </c>
      <c r="E180">
        <v>459</v>
      </c>
    </row>
    <row r="181" spans="1:6">
      <c r="A181">
        <v>18</v>
      </c>
      <c r="B181" t="s">
        <v>511</v>
      </c>
      <c r="C181">
        <v>2024</v>
      </c>
      <c r="D181">
        <v>9</v>
      </c>
      <c r="E181">
        <v>203</v>
      </c>
    </row>
    <row r="182" spans="1:6">
      <c r="A182">
        <v>19</v>
      </c>
      <c r="B182" t="s">
        <v>511</v>
      </c>
      <c r="C182">
        <v>2024</v>
      </c>
      <c r="D182">
        <v>9</v>
      </c>
      <c r="E182">
        <v>46</v>
      </c>
    </row>
    <row r="183" spans="1:6">
      <c r="A183">
        <v>20</v>
      </c>
      <c r="B183" t="s">
        <v>511</v>
      </c>
      <c r="C183">
        <v>2024</v>
      </c>
      <c r="D183">
        <v>9</v>
      </c>
      <c r="E183">
        <v>108</v>
      </c>
    </row>
    <row r="184" spans="1:6">
      <c r="A184">
        <v>21</v>
      </c>
      <c r="B184" t="s">
        <v>511</v>
      </c>
      <c r="C184">
        <v>2024</v>
      </c>
      <c r="D184">
        <v>9</v>
      </c>
      <c r="E184">
        <v>49</v>
      </c>
    </row>
    <row r="185" spans="1:6">
      <c r="A185">
        <v>22</v>
      </c>
      <c r="B185" t="s">
        <v>511</v>
      </c>
      <c r="C185">
        <v>2024</v>
      </c>
      <c r="D185">
        <v>9</v>
      </c>
      <c r="E185">
        <v>0.226601</v>
      </c>
    </row>
    <row r="186" spans="1:6">
      <c r="A186">
        <v>23</v>
      </c>
      <c r="B186" t="s">
        <v>511</v>
      </c>
      <c r="C186">
        <v>2024</v>
      </c>
      <c r="D186">
        <v>9</v>
      </c>
      <c r="E186">
        <v>0.53202000000000005</v>
      </c>
    </row>
    <row r="187" spans="1:6">
      <c r="A187">
        <v>24</v>
      </c>
      <c r="B187" t="s">
        <v>511</v>
      </c>
      <c r="C187">
        <v>2024</v>
      </c>
      <c r="D187">
        <v>9</v>
      </c>
      <c r="E187">
        <v>0.24137900000000001</v>
      </c>
    </row>
    <row r="188" spans="1:6">
      <c r="A188">
        <v>25</v>
      </c>
      <c r="B188" t="s">
        <v>511</v>
      </c>
      <c r="C188">
        <v>2024</v>
      </c>
      <c r="D188">
        <v>9</v>
      </c>
      <c r="E188">
        <v>68</v>
      </c>
      <c r="F188" t="s">
        <v>461</v>
      </c>
    </row>
    <row r="189" spans="1:6">
      <c r="A189">
        <v>26</v>
      </c>
      <c r="B189" t="s">
        <v>511</v>
      </c>
      <c r="C189">
        <v>2024</v>
      </c>
      <c r="D189">
        <v>9</v>
      </c>
      <c r="E189">
        <v>58</v>
      </c>
      <c r="F189" t="s">
        <v>504</v>
      </c>
    </row>
    <row r="190" spans="1:6">
      <c r="A190">
        <v>27</v>
      </c>
      <c r="B190" t="s">
        <v>511</v>
      </c>
      <c r="C190">
        <v>2024</v>
      </c>
      <c r="D190">
        <v>9</v>
      </c>
      <c r="E190">
        <v>46</v>
      </c>
      <c r="F190" t="s">
        <v>463</v>
      </c>
    </row>
    <row r="191" spans="1:6">
      <c r="A191">
        <v>28</v>
      </c>
      <c r="B191" t="s">
        <v>511</v>
      </c>
      <c r="C191">
        <v>2024</v>
      </c>
      <c r="D191">
        <v>9</v>
      </c>
      <c r="E191">
        <v>77</v>
      </c>
    </row>
    <row r="192" spans="1:6">
      <c r="A192">
        <v>29</v>
      </c>
      <c r="B192" t="s">
        <v>511</v>
      </c>
      <c r="C192">
        <v>2024</v>
      </c>
      <c r="D192">
        <v>9</v>
      </c>
      <c r="E192">
        <v>0.85</v>
      </c>
    </row>
    <row r="193" spans="1:5">
      <c r="A193">
        <v>30</v>
      </c>
      <c r="B193" t="s">
        <v>511</v>
      </c>
      <c r="C193">
        <v>2024</v>
      </c>
      <c r="D193">
        <v>9</v>
      </c>
      <c r="E193">
        <v>0</v>
      </c>
    </row>
    <row r="194" spans="1:5">
      <c r="A194">
        <v>31</v>
      </c>
      <c r="B194" t="s">
        <v>511</v>
      </c>
      <c r="C194">
        <v>2024</v>
      </c>
      <c r="D194">
        <v>9</v>
      </c>
      <c r="E194">
        <v>0</v>
      </c>
    </row>
    <row r="195" spans="1:5">
      <c r="A195">
        <v>32</v>
      </c>
      <c r="B195" t="s">
        <v>511</v>
      </c>
      <c r="C195">
        <v>2024</v>
      </c>
      <c r="D195">
        <v>9</v>
      </c>
      <c r="E195">
        <v>0</v>
      </c>
    </row>
    <row r="196" spans="1:5">
      <c r="A196">
        <v>33</v>
      </c>
      <c r="B196" t="s">
        <v>511</v>
      </c>
      <c r="C196">
        <v>2024</v>
      </c>
      <c r="D196">
        <v>9</v>
      </c>
      <c r="E196">
        <v>0</v>
      </c>
    </row>
    <row r="197" spans="1:5">
      <c r="A197">
        <v>34</v>
      </c>
      <c r="B197" t="s">
        <v>511</v>
      </c>
      <c r="C197">
        <v>2024</v>
      </c>
      <c r="D197">
        <v>9</v>
      </c>
      <c r="E197">
        <v>0</v>
      </c>
    </row>
    <row r="198" spans="1:5">
      <c r="A198">
        <v>35</v>
      </c>
      <c r="B198" t="s">
        <v>511</v>
      </c>
      <c r="C198">
        <v>2024</v>
      </c>
      <c r="D198">
        <v>9</v>
      </c>
      <c r="E198">
        <v>0</v>
      </c>
    </row>
    <row r="199" spans="1:5">
      <c r="A199">
        <v>36</v>
      </c>
      <c r="B199" t="s">
        <v>511</v>
      </c>
      <c r="C199">
        <v>2024</v>
      </c>
      <c r="D199">
        <v>9</v>
      </c>
      <c r="E199">
        <v>0</v>
      </c>
    </row>
    <row r="200" spans="1:5">
      <c r="A200">
        <v>37</v>
      </c>
      <c r="B200" t="s">
        <v>511</v>
      </c>
      <c r="C200">
        <v>2024</v>
      </c>
      <c r="D200">
        <v>9</v>
      </c>
      <c r="E200">
        <v>0</v>
      </c>
    </row>
    <row r="201" spans="1:5">
      <c r="A201">
        <v>38</v>
      </c>
      <c r="B201" t="s">
        <v>511</v>
      </c>
      <c r="C201">
        <v>2024</v>
      </c>
      <c r="D201">
        <v>9</v>
      </c>
      <c r="E201">
        <v>0</v>
      </c>
    </row>
    <row r="202" spans="1:5">
      <c r="A202">
        <v>39</v>
      </c>
      <c r="B202" t="s">
        <v>511</v>
      </c>
      <c r="C202">
        <v>2024</v>
      </c>
      <c r="D202">
        <v>9</v>
      </c>
      <c r="E202">
        <v>0</v>
      </c>
    </row>
    <row r="203" spans="1:5">
      <c r="A203">
        <v>40</v>
      </c>
      <c r="B203" t="s">
        <v>511</v>
      </c>
      <c r="C203">
        <v>2024</v>
      </c>
      <c r="D203">
        <v>9</v>
      </c>
      <c r="E203">
        <v>0</v>
      </c>
    </row>
    <row r="204" spans="1:5">
      <c r="A204">
        <v>41</v>
      </c>
      <c r="B204" t="s">
        <v>511</v>
      </c>
      <c r="C204">
        <v>2024</v>
      </c>
      <c r="D204">
        <v>9</v>
      </c>
      <c r="E204">
        <v>0</v>
      </c>
    </row>
    <row r="205" spans="1:5">
      <c r="A205">
        <v>42</v>
      </c>
      <c r="B205" t="s">
        <v>511</v>
      </c>
      <c r="C205">
        <v>2024</v>
      </c>
      <c r="D205">
        <v>9</v>
      </c>
      <c r="E205">
        <v>0</v>
      </c>
    </row>
    <row r="206" spans="1:5">
      <c r="A206">
        <v>43</v>
      </c>
      <c r="B206" t="s">
        <v>511</v>
      </c>
      <c r="C206">
        <v>2024</v>
      </c>
      <c r="D206">
        <v>9</v>
      </c>
      <c r="E206">
        <v>0</v>
      </c>
    </row>
    <row r="207" spans="1:5">
      <c r="A207">
        <v>44</v>
      </c>
      <c r="B207" t="s">
        <v>511</v>
      </c>
      <c r="C207">
        <v>2024</v>
      </c>
      <c r="D207">
        <v>9</v>
      </c>
      <c r="E207">
        <v>0</v>
      </c>
    </row>
    <row r="208" spans="1:5">
      <c r="A208">
        <v>45</v>
      </c>
      <c r="B208" t="s">
        <v>511</v>
      </c>
      <c r="C208">
        <v>2024</v>
      </c>
      <c r="D208">
        <v>9</v>
      </c>
      <c r="E208">
        <v>0</v>
      </c>
    </row>
    <row r="209" spans="1:5">
      <c r="A209">
        <v>46</v>
      </c>
      <c r="B209" t="s">
        <v>511</v>
      </c>
      <c r="C209">
        <v>2024</v>
      </c>
      <c r="D209">
        <v>9</v>
      </c>
      <c r="E209">
        <v>0</v>
      </c>
    </row>
    <row r="210" spans="1:5">
      <c r="A210">
        <v>47</v>
      </c>
      <c r="B210" t="s">
        <v>511</v>
      </c>
      <c r="C210">
        <v>2024</v>
      </c>
      <c r="D210">
        <v>9</v>
      </c>
      <c r="E210">
        <v>0</v>
      </c>
    </row>
    <row r="211" spans="1:5">
      <c r="A211">
        <v>48</v>
      </c>
      <c r="B211" t="s">
        <v>511</v>
      </c>
      <c r="C211">
        <v>2024</v>
      </c>
      <c r="D211">
        <v>9</v>
      </c>
      <c r="E211">
        <v>0</v>
      </c>
    </row>
    <row r="212" spans="1:5">
      <c r="A212">
        <v>49</v>
      </c>
      <c r="B212" t="s">
        <v>511</v>
      </c>
      <c r="C212">
        <v>2024</v>
      </c>
      <c r="D212">
        <v>9</v>
      </c>
      <c r="E212">
        <v>0</v>
      </c>
    </row>
    <row r="213" spans="1:5">
      <c r="A213">
        <v>50</v>
      </c>
      <c r="B213" t="s">
        <v>511</v>
      </c>
      <c r="C213">
        <v>2024</v>
      </c>
      <c r="D213">
        <v>9</v>
      </c>
      <c r="E213">
        <v>0</v>
      </c>
    </row>
    <row r="214" spans="1:5">
      <c r="A214">
        <v>51</v>
      </c>
      <c r="B214" t="s">
        <v>511</v>
      </c>
      <c r="C214">
        <v>2024</v>
      </c>
      <c r="D214">
        <v>9</v>
      </c>
      <c r="E214">
        <v>0</v>
      </c>
    </row>
    <row r="215" spans="1:5">
      <c r="A215">
        <v>52</v>
      </c>
      <c r="B215" t="s">
        <v>511</v>
      </c>
      <c r="C215">
        <v>2024</v>
      </c>
      <c r="D215">
        <v>9</v>
      </c>
      <c r="E215">
        <v>0</v>
      </c>
    </row>
    <row r="216" spans="1:5">
      <c r="A216">
        <v>53</v>
      </c>
      <c r="B216" t="s">
        <v>511</v>
      </c>
      <c r="C216">
        <v>2024</v>
      </c>
      <c r="D216">
        <v>9</v>
      </c>
      <c r="E216">
        <v>0</v>
      </c>
    </row>
    <row r="217" spans="1:5">
      <c r="A217">
        <v>54</v>
      </c>
      <c r="B217" t="s">
        <v>511</v>
      </c>
      <c r="C217">
        <v>2024</v>
      </c>
      <c r="D217">
        <v>9</v>
      </c>
      <c r="E217">
        <v>0</v>
      </c>
    </row>
    <row r="218" spans="1:5">
      <c r="A218">
        <v>1</v>
      </c>
      <c r="B218" t="s">
        <v>512</v>
      </c>
      <c r="C218">
        <v>2024</v>
      </c>
      <c r="D218">
        <v>9</v>
      </c>
      <c r="E218">
        <v>47</v>
      </c>
    </row>
    <row r="219" spans="1:5">
      <c r="A219">
        <v>2</v>
      </c>
      <c r="B219" t="s">
        <v>512</v>
      </c>
      <c r="C219">
        <v>2024</v>
      </c>
      <c r="D219">
        <v>9</v>
      </c>
      <c r="E219">
        <v>47</v>
      </c>
    </row>
    <row r="220" spans="1:5">
      <c r="A220">
        <v>3</v>
      </c>
      <c r="B220" t="s">
        <v>512</v>
      </c>
      <c r="C220">
        <v>2024</v>
      </c>
      <c r="D220">
        <v>9</v>
      </c>
      <c r="E220">
        <v>97.38</v>
      </c>
    </row>
    <row r="221" spans="1:5">
      <c r="A221">
        <v>4</v>
      </c>
      <c r="B221" t="s">
        <v>512</v>
      </c>
      <c r="C221">
        <v>2024</v>
      </c>
      <c r="D221">
        <v>9</v>
      </c>
      <c r="E221">
        <v>0</v>
      </c>
    </row>
    <row r="222" spans="1:5">
      <c r="A222">
        <v>5</v>
      </c>
      <c r="B222" t="s">
        <v>512</v>
      </c>
      <c r="C222">
        <v>2024</v>
      </c>
      <c r="D222">
        <v>9</v>
      </c>
      <c r="E222">
        <v>0</v>
      </c>
    </row>
    <row r="223" spans="1:5">
      <c r="A223">
        <v>6</v>
      </c>
      <c r="B223" t="s">
        <v>512</v>
      </c>
      <c r="C223">
        <v>2024</v>
      </c>
      <c r="D223">
        <v>9</v>
      </c>
      <c r="E223">
        <v>141</v>
      </c>
    </row>
    <row r="224" spans="1:5">
      <c r="A224">
        <v>7</v>
      </c>
      <c r="B224" t="s">
        <v>512</v>
      </c>
      <c r="C224">
        <v>2024</v>
      </c>
      <c r="D224">
        <v>9</v>
      </c>
      <c r="E224">
        <v>1.34</v>
      </c>
    </row>
    <row r="225" spans="1:5">
      <c r="A225">
        <v>8</v>
      </c>
      <c r="B225" t="s">
        <v>512</v>
      </c>
      <c r="C225">
        <v>2024</v>
      </c>
      <c r="D225">
        <v>9</v>
      </c>
      <c r="E225">
        <v>0</v>
      </c>
    </row>
    <row r="226" spans="1:5">
      <c r="A226">
        <v>9</v>
      </c>
      <c r="B226" t="s">
        <v>512</v>
      </c>
      <c r="C226">
        <v>2024</v>
      </c>
      <c r="D226">
        <v>9</v>
      </c>
      <c r="E226">
        <v>0</v>
      </c>
    </row>
    <row r="227" spans="1:5">
      <c r="A227">
        <v>10</v>
      </c>
      <c r="B227" t="s">
        <v>512</v>
      </c>
      <c r="C227">
        <v>2024</v>
      </c>
      <c r="D227">
        <v>9</v>
      </c>
      <c r="E227">
        <v>0</v>
      </c>
    </row>
    <row r="228" spans="1:5">
      <c r="A228">
        <v>11</v>
      </c>
      <c r="B228" t="s">
        <v>512</v>
      </c>
      <c r="C228">
        <v>2024</v>
      </c>
      <c r="D228">
        <v>9</v>
      </c>
      <c r="E228">
        <v>0</v>
      </c>
    </row>
    <row r="229" spans="1:5">
      <c r="A229">
        <v>12</v>
      </c>
      <c r="B229" t="s">
        <v>512</v>
      </c>
      <c r="C229">
        <v>2024</v>
      </c>
      <c r="D229">
        <v>9</v>
      </c>
      <c r="E229">
        <v>0</v>
      </c>
    </row>
    <row r="230" spans="1:5">
      <c r="A230">
        <v>13</v>
      </c>
      <c r="B230" t="s">
        <v>512</v>
      </c>
      <c r="C230">
        <v>2024</v>
      </c>
      <c r="D230">
        <v>9</v>
      </c>
      <c r="E230">
        <v>89</v>
      </c>
    </row>
    <row r="231" spans="1:5">
      <c r="A231">
        <v>14</v>
      </c>
      <c r="B231" t="s">
        <v>512</v>
      </c>
      <c r="C231">
        <v>2024</v>
      </c>
      <c r="D231">
        <v>9</v>
      </c>
      <c r="E231">
        <v>23</v>
      </c>
    </row>
    <row r="232" spans="1:5">
      <c r="A232">
        <v>15</v>
      </c>
      <c r="B232" t="s">
        <v>512</v>
      </c>
      <c r="C232">
        <v>2024</v>
      </c>
      <c r="D232">
        <v>9</v>
      </c>
      <c r="E232">
        <v>40</v>
      </c>
    </row>
    <row r="233" spans="1:5">
      <c r="A233">
        <v>16</v>
      </c>
      <c r="B233" t="s">
        <v>512</v>
      </c>
      <c r="C233">
        <v>2024</v>
      </c>
      <c r="D233">
        <v>9</v>
      </c>
      <c r="E233">
        <v>11</v>
      </c>
    </row>
    <row r="234" spans="1:5">
      <c r="A234">
        <v>17</v>
      </c>
      <c r="B234" t="s">
        <v>512</v>
      </c>
      <c r="C234">
        <v>2024</v>
      </c>
      <c r="D234">
        <v>9</v>
      </c>
      <c r="E234">
        <v>1180</v>
      </c>
    </row>
    <row r="235" spans="1:5">
      <c r="A235">
        <v>18</v>
      </c>
      <c r="B235" t="s">
        <v>512</v>
      </c>
      <c r="C235">
        <v>2024</v>
      </c>
      <c r="D235">
        <v>9</v>
      </c>
      <c r="E235">
        <v>819</v>
      </c>
    </row>
    <row r="236" spans="1:5">
      <c r="A236">
        <v>19</v>
      </c>
      <c r="B236" t="s">
        <v>512</v>
      </c>
      <c r="C236">
        <v>2024</v>
      </c>
      <c r="D236">
        <v>9</v>
      </c>
      <c r="E236">
        <v>106</v>
      </c>
    </row>
    <row r="237" spans="1:5">
      <c r="A237">
        <v>20</v>
      </c>
      <c r="B237" t="s">
        <v>512</v>
      </c>
      <c r="C237">
        <v>2024</v>
      </c>
      <c r="D237">
        <v>9</v>
      </c>
      <c r="E237">
        <v>588</v>
      </c>
    </row>
    <row r="238" spans="1:5">
      <c r="A238">
        <v>21</v>
      </c>
      <c r="B238" t="s">
        <v>512</v>
      </c>
      <c r="C238">
        <v>2024</v>
      </c>
      <c r="D238">
        <v>9</v>
      </c>
      <c r="E238">
        <v>125</v>
      </c>
    </row>
    <row r="239" spans="1:5">
      <c r="A239">
        <v>22</v>
      </c>
      <c r="B239" t="s">
        <v>512</v>
      </c>
      <c r="C239">
        <v>2024</v>
      </c>
      <c r="D239">
        <v>9</v>
      </c>
      <c r="E239">
        <v>0.12942600000000001</v>
      </c>
    </row>
    <row r="240" spans="1:5">
      <c r="A240">
        <v>23</v>
      </c>
      <c r="B240" t="s">
        <v>512</v>
      </c>
      <c r="C240">
        <v>2024</v>
      </c>
      <c r="D240">
        <v>9</v>
      </c>
      <c r="E240">
        <v>0.71794899999999995</v>
      </c>
    </row>
    <row r="241" spans="1:6">
      <c r="A241">
        <v>24</v>
      </c>
      <c r="B241" t="s">
        <v>512</v>
      </c>
      <c r="C241">
        <v>2024</v>
      </c>
      <c r="D241">
        <v>9</v>
      </c>
      <c r="E241">
        <v>0.15262500000000001</v>
      </c>
    </row>
    <row r="242" spans="1:6">
      <c r="A242">
        <v>25</v>
      </c>
      <c r="B242" t="s">
        <v>512</v>
      </c>
      <c r="C242">
        <v>2024</v>
      </c>
      <c r="D242">
        <v>9</v>
      </c>
      <c r="E242">
        <v>410</v>
      </c>
      <c r="F242" t="s">
        <v>465</v>
      </c>
    </row>
    <row r="243" spans="1:6">
      <c r="A243">
        <v>26</v>
      </c>
      <c r="B243" t="s">
        <v>512</v>
      </c>
      <c r="C243">
        <v>2024</v>
      </c>
      <c r="D243">
        <v>9</v>
      </c>
      <c r="E243">
        <v>261</v>
      </c>
      <c r="F243" t="s">
        <v>461</v>
      </c>
    </row>
    <row r="244" spans="1:6">
      <c r="A244">
        <v>27</v>
      </c>
      <c r="B244" t="s">
        <v>512</v>
      </c>
      <c r="C244">
        <v>2024</v>
      </c>
      <c r="D244">
        <v>9</v>
      </c>
      <c r="E244">
        <v>229</v>
      </c>
      <c r="F244" t="s">
        <v>463</v>
      </c>
    </row>
    <row r="245" spans="1:6">
      <c r="A245">
        <v>28</v>
      </c>
      <c r="B245" t="s">
        <v>512</v>
      </c>
      <c r="C245">
        <v>2024</v>
      </c>
      <c r="D245">
        <v>9</v>
      </c>
      <c r="E245">
        <v>65</v>
      </c>
    </row>
    <row r="246" spans="1:6">
      <c r="A246">
        <v>29</v>
      </c>
      <c r="B246" t="s">
        <v>512</v>
      </c>
      <c r="C246">
        <v>2024</v>
      </c>
      <c r="D246">
        <v>9</v>
      </c>
      <c r="E246">
        <v>0.65</v>
      </c>
    </row>
    <row r="247" spans="1:6">
      <c r="A247">
        <v>30</v>
      </c>
      <c r="B247" t="s">
        <v>512</v>
      </c>
      <c r="C247">
        <v>2024</v>
      </c>
      <c r="D247">
        <v>9</v>
      </c>
      <c r="E247">
        <v>0</v>
      </c>
    </row>
    <row r="248" spans="1:6">
      <c r="A248">
        <v>31</v>
      </c>
      <c r="B248" t="s">
        <v>512</v>
      </c>
      <c r="C248">
        <v>2024</v>
      </c>
      <c r="D248">
        <v>9</v>
      </c>
      <c r="E248">
        <v>0</v>
      </c>
    </row>
    <row r="249" spans="1:6">
      <c r="A249">
        <v>32</v>
      </c>
      <c r="B249" t="s">
        <v>512</v>
      </c>
      <c r="C249">
        <v>2024</v>
      </c>
      <c r="D249">
        <v>9</v>
      </c>
      <c r="E249">
        <v>0</v>
      </c>
    </row>
    <row r="250" spans="1:6">
      <c r="A250">
        <v>33</v>
      </c>
      <c r="B250" t="s">
        <v>512</v>
      </c>
      <c r="C250">
        <v>2024</v>
      </c>
      <c r="D250">
        <v>9</v>
      </c>
      <c r="E250">
        <v>0</v>
      </c>
    </row>
    <row r="251" spans="1:6">
      <c r="A251">
        <v>34</v>
      </c>
      <c r="B251" t="s">
        <v>512</v>
      </c>
      <c r="C251">
        <v>2024</v>
      </c>
      <c r="D251">
        <v>9</v>
      </c>
      <c r="E251">
        <v>0</v>
      </c>
    </row>
    <row r="252" spans="1:6">
      <c r="A252">
        <v>35</v>
      </c>
      <c r="B252" t="s">
        <v>512</v>
      </c>
      <c r="C252">
        <v>2024</v>
      </c>
      <c r="D252">
        <v>9</v>
      </c>
      <c r="E252">
        <v>0</v>
      </c>
    </row>
    <row r="253" spans="1:6">
      <c r="A253">
        <v>36</v>
      </c>
      <c r="B253" t="s">
        <v>512</v>
      </c>
      <c r="C253">
        <v>2024</v>
      </c>
      <c r="D253">
        <v>9</v>
      </c>
      <c r="E253">
        <v>0</v>
      </c>
    </row>
    <row r="254" spans="1:6">
      <c r="A254">
        <v>37</v>
      </c>
      <c r="B254" t="s">
        <v>512</v>
      </c>
      <c r="C254">
        <v>2024</v>
      </c>
      <c r="D254">
        <v>9</v>
      </c>
      <c r="E254">
        <v>0</v>
      </c>
    </row>
    <row r="255" spans="1:6">
      <c r="A255">
        <v>38</v>
      </c>
      <c r="B255" t="s">
        <v>512</v>
      </c>
      <c r="C255">
        <v>2024</v>
      </c>
      <c r="D255">
        <v>9</v>
      </c>
      <c r="E255">
        <v>0</v>
      </c>
    </row>
    <row r="256" spans="1:6">
      <c r="A256">
        <v>39</v>
      </c>
      <c r="B256" t="s">
        <v>512</v>
      </c>
      <c r="C256">
        <v>2024</v>
      </c>
      <c r="D256">
        <v>9</v>
      </c>
      <c r="E256">
        <v>0</v>
      </c>
    </row>
    <row r="257" spans="1:5">
      <c r="A257">
        <v>40</v>
      </c>
      <c r="B257" t="s">
        <v>512</v>
      </c>
      <c r="C257">
        <v>2024</v>
      </c>
      <c r="D257">
        <v>9</v>
      </c>
      <c r="E257">
        <v>0</v>
      </c>
    </row>
    <row r="258" spans="1:5">
      <c r="A258">
        <v>41</v>
      </c>
      <c r="B258" t="s">
        <v>512</v>
      </c>
      <c r="C258">
        <v>2024</v>
      </c>
      <c r="D258">
        <v>9</v>
      </c>
      <c r="E258">
        <v>0</v>
      </c>
    </row>
    <row r="259" spans="1:5">
      <c r="A259">
        <v>42</v>
      </c>
      <c r="B259" t="s">
        <v>512</v>
      </c>
      <c r="C259">
        <v>2024</v>
      </c>
      <c r="D259">
        <v>9</v>
      </c>
      <c r="E259">
        <v>0</v>
      </c>
    </row>
    <row r="260" spans="1:5">
      <c r="A260">
        <v>43</v>
      </c>
      <c r="B260" t="s">
        <v>512</v>
      </c>
      <c r="C260">
        <v>2024</v>
      </c>
      <c r="D260">
        <v>9</v>
      </c>
      <c r="E260">
        <v>0</v>
      </c>
    </row>
    <row r="261" spans="1:5">
      <c r="A261">
        <v>44</v>
      </c>
      <c r="B261" t="s">
        <v>512</v>
      </c>
      <c r="C261">
        <v>2024</v>
      </c>
      <c r="D261">
        <v>9</v>
      </c>
      <c r="E261">
        <v>0</v>
      </c>
    </row>
    <row r="262" spans="1:5">
      <c r="A262">
        <v>45</v>
      </c>
      <c r="B262" t="s">
        <v>512</v>
      </c>
      <c r="C262">
        <v>2024</v>
      </c>
      <c r="D262">
        <v>9</v>
      </c>
      <c r="E262">
        <v>0</v>
      </c>
    </row>
    <row r="263" spans="1:5">
      <c r="A263">
        <v>46</v>
      </c>
      <c r="B263" t="s">
        <v>512</v>
      </c>
      <c r="C263">
        <v>2024</v>
      </c>
      <c r="D263">
        <v>9</v>
      </c>
      <c r="E263">
        <v>0</v>
      </c>
    </row>
    <row r="264" spans="1:5">
      <c r="A264">
        <v>47</v>
      </c>
      <c r="B264" t="s">
        <v>512</v>
      </c>
      <c r="C264">
        <v>2024</v>
      </c>
      <c r="D264">
        <v>9</v>
      </c>
      <c r="E264">
        <v>0</v>
      </c>
    </row>
    <row r="265" spans="1:5">
      <c r="A265">
        <v>48</v>
      </c>
      <c r="B265" t="s">
        <v>512</v>
      </c>
      <c r="C265">
        <v>2024</v>
      </c>
      <c r="D265">
        <v>9</v>
      </c>
      <c r="E265">
        <v>0</v>
      </c>
    </row>
    <row r="266" spans="1:5">
      <c r="A266">
        <v>49</v>
      </c>
      <c r="B266" t="s">
        <v>512</v>
      </c>
      <c r="C266">
        <v>2024</v>
      </c>
      <c r="D266">
        <v>9</v>
      </c>
      <c r="E266">
        <v>0</v>
      </c>
    </row>
    <row r="267" spans="1:5">
      <c r="A267">
        <v>50</v>
      </c>
      <c r="B267" t="s">
        <v>512</v>
      </c>
      <c r="C267">
        <v>2024</v>
      </c>
      <c r="D267">
        <v>9</v>
      </c>
      <c r="E267">
        <v>0</v>
      </c>
    </row>
    <row r="268" spans="1:5">
      <c r="A268">
        <v>51</v>
      </c>
      <c r="B268" t="s">
        <v>512</v>
      </c>
      <c r="C268">
        <v>2024</v>
      </c>
      <c r="D268">
        <v>9</v>
      </c>
      <c r="E268">
        <v>0</v>
      </c>
    </row>
    <row r="269" spans="1:5">
      <c r="A269">
        <v>52</v>
      </c>
      <c r="B269" t="s">
        <v>512</v>
      </c>
      <c r="C269">
        <v>2024</v>
      </c>
      <c r="D269">
        <v>9</v>
      </c>
      <c r="E269">
        <v>0</v>
      </c>
    </row>
    <row r="270" spans="1:5">
      <c r="A270">
        <v>53</v>
      </c>
      <c r="B270" t="s">
        <v>512</v>
      </c>
      <c r="C270">
        <v>2024</v>
      </c>
      <c r="D270">
        <v>9</v>
      </c>
      <c r="E270">
        <v>0</v>
      </c>
    </row>
    <row r="271" spans="1:5">
      <c r="A271">
        <v>54</v>
      </c>
      <c r="B271" t="s">
        <v>512</v>
      </c>
      <c r="C271">
        <v>2024</v>
      </c>
      <c r="D271">
        <v>9</v>
      </c>
      <c r="E271">
        <v>0</v>
      </c>
    </row>
    <row r="272" spans="1:5">
      <c r="A272">
        <v>1</v>
      </c>
      <c r="B272" t="s">
        <v>513</v>
      </c>
      <c r="C272">
        <v>2024</v>
      </c>
      <c r="D272">
        <v>9</v>
      </c>
      <c r="E272">
        <v>46</v>
      </c>
    </row>
    <row r="273" spans="1:5">
      <c r="A273">
        <v>2</v>
      </c>
      <c r="B273" t="s">
        <v>513</v>
      </c>
      <c r="C273">
        <v>2024</v>
      </c>
      <c r="D273">
        <v>9</v>
      </c>
      <c r="E273">
        <v>46</v>
      </c>
    </row>
    <row r="274" spans="1:5">
      <c r="A274">
        <v>3</v>
      </c>
      <c r="B274" t="s">
        <v>513</v>
      </c>
      <c r="C274">
        <v>2024</v>
      </c>
      <c r="D274">
        <v>9</v>
      </c>
      <c r="E274">
        <v>96.86</v>
      </c>
    </row>
    <row r="275" spans="1:5">
      <c r="A275">
        <v>4</v>
      </c>
      <c r="B275" t="s">
        <v>513</v>
      </c>
      <c r="C275">
        <v>2024</v>
      </c>
      <c r="D275">
        <v>9</v>
      </c>
      <c r="E275">
        <v>1</v>
      </c>
    </row>
    <row r="276" spans="1:5">
      <c r="A276">
        <v>5</v>
      </c>
      <c r="B276" t="s">
        <v>513</v>
      </c>
      <c r="C276">
        <v>2024</v>
      </c>
      <c r="D276">
        <v>9</v>
      </c>
      <c r="E276">
        <v>0.02</v>
      </c>
    </row>
    <row r="277" spans="1:5">
      <c r="A277">
        <v>6</v>
      </c>
      <c r="B277" t="s">
        <v>513</v>
      </c>
      <c r="C277">
        <v>2024</v>
      </c>
      <c r="D277">
        <v>9</v>
      </c>
      <c r="E277">
        <v>97</v>
      </c>
    </row>
    <row r="278" spans="1:5">
      <c r="A278">
        <v>7</v>
      </c>
      <c r="B278" t="s">
        <v>513</v>
      </c>
      <c r="C278">
        <v>2024</v>
      </c>
      <c r="D278">
        <v>9</v>
      </c>
      <c r="E278">
        <v>3.95</v>
      </c>
    </row>
    <row r="279" spans="1:5">
      <c r="A279">
        <v>8</v>
      </c>
      <c r="B279" t="s">
        <v>513</v>
      </c>
      <c r="C279">
        <v>2024</v>
      </c>
      <c r="D279">
        <v>9</v>
      </c>
      <c r="E279">
        <v>9</v>
      </c>
    </row>
    <row r="280" spans="1:5">
      <c r="A280">
        <v>9</v>
      </c>
      <c r="B280" t="s">
        <v>513</v>
      </c>
      <c r="C280">
        <v>2024</v>
      </c>
      <c r="D280">
        <v>9</v>
      </c>
      <c r="E280">
        <v>10</v>
      </c>
    </row>
    <row r="281" spans="1:5">
      <c r="A281">
        <v>10</v>
      </c>
      <c r="B281" t="s">
        <v>513</v>
      </c>
      <c r="C281">
        <v>2024</v>
      </c>
      <c r="D281">
        <v>9</v>
      </c>
      <c r="E281">
        <v>1</v>
      </c>
    </row>
    <row r="282" spans="1:5">
      <c r="A282">
        <v>11</v>
      </c>
      <c r="B282" t="s">
        <v>513</v>
      </c>
      <c r="C282">
        <v>2024</v>
      </c>
      <c r="D282">
        <v>9</v>
      </c>
      <c r="E282">
        <v>0</v>
      </c>
    </row>
    <row r="283" spans="1:5">
      <c r="A283">
        <v>12</v>
      </c>
      <c r="B283" t="s">
        <v>513</v>
      </c>
      <c r="C283">
        <v>2024</v>
      </c>
      <c r="D283">
        <v>9</v>
      </c>
      <c r="E283">
        <v>8</v>
      </c>
    </row>
    <row r="284" spans="1:5">
      <c r="A284">
        <v>13</v>
      </c>
      <c r="B284" t="s">
        <v>513</v>
      </c>
      <c r="C284">
        <v>2024</v>
      </c>
      <c r="D284">
        <v>9</v>
      </c>
      <c r="E284">
        <v>46</v>
      </c>
    </row>
    <row r="285" spans="1:5">
      <c r="A285">
        <v>14</v>
      </c>
      <c r="B285" t="s">
        <v>513</v>
      </c>
      <c r="C285">
        <v>2024</v>
      </c>
      <c r="D285">
        <v>9</v>
      </c>
      <c r="E285">
        <v>28</v>
      </c>
    </row>
    <row r="286" spans="1:5">
      <c r="A286">
        <v>15</v>
      </c>
      <c r="B286" t="s">
        <v>513</v>
      </c>
      <c r="C286">
        <v>2024</v>
      </c>
      <c r="D286">
        <v>9</v>
      </c>
      <c r="E286">
        <v>37</v>
      </c>
    </row>
    <row r="287" spans="1:5">
      <c r="A287">
        <v>16</v>
      </c>
      <c r="B287" t="s">
        <v>513</v>
      </c>
      <c r="C287">
        <v>2024</v>
      </c>
      <c r="D287">
        <v>9</v>
      </c>
      <c r="E287">
        <v>12</v>
      </c>
    </row>
    <row r="288" spans="1:5">
      <c r="A288">
        <v>17</v>
      </c>
      <c r="B288" t="s">
        <v>513</v>
      </c>
      <c r="C288">
        <v>2024</v>
      </c>
      <c r="D288">
        <v>9</v>
      </c>
      <c r="E288">
        <v>491</v>
      </c>
    </row>
    <row r="289" spans="1:6">
      <c r="A289">
        <v>18</v>
      </c>
      <c r="B289" t="s">
        <v>513</v>
      </c>
      <c r="C289">
        <v>2024</v>
      </c>
      <c r="D289">
        <v>9</v>
      </c>
      <c r="E289">
        <v>114</v>
      </c>
    </row>
    <row r="290" spans="1:6">
      <c r="A290">
        <v>19</v>
      </c>
      <c r="B290" t="s">
        <v>513</v>
      </c>
      <c r="C290">
        <v>2024</v>
      </c>
      <c r="D290">
        <v>9</v>
      </c>
      <c r="E290">
        <v>42</v>
      </c>
    </row>
    <row r="291" spans="1:6">
      <c r="A291">
        <v>20</v>
      </c>
      <c r="B291" t="s">
        <v>513</v>
      </c>
      <c r="C291">
        <v>2024</v>
      </c>
      <c r="D291">
        <v>9</v>
      </c>
      <c r="E291">
        <v>47</v>
      </c>
    </row>
    <row r="292" spans="1:6">
      <c r="A292">
        <v>21</v>
      </c>
      <c r="B292" t="s">
        <v>513</v>
      </c>
      <c r="C292">
        <v>2024</v>
      </c>
      <c r="D292">
        <v>9</v>
      </c>
      <c r="E292">
        <v>25</v>
      </c>
    </row>
    <row r="293" spans="1:6">
      <c r="A293">
        <v>22</v>
      </c>
      <c r="B293" t="s">
        <v>513</v>
      </c>
      <c r="C293">
        <v>2024</v>
      </c>
      <c r="D293">
        <v>9</v>
      </c>
      <c r="E293">
        <v>0.368421</v>
      </c>
    </row>
    <row r="294" spans="1:6">
      <c r="A294">
        <v>23</v>
      </c>
      <c r="B294" t="s">
        <v>513</v>
      </c>
      <c r="C294">
        <v>2024</v>
      </c>
      <c r="D294">
        <v>9</v>
      </c>
      <c r="E294">
        <v>0.41228100000000001</v>
      </c>
    </row>
    <row r="295" spans="1:6">
      <c r="A295">
        <v>24</v>
      </c>
      <c r="B295" t="s">
        <v>513</v>
      </c>
      <c r="C295">
        <v>2024</v>
      </c>
      <c r="D295">
        <v>9</v>
      </c>
      <c r="E295">
        <v>0.21929799999999999</v>
      </c>
    </row>
    <row r="296" spans="1:6">
      <c r="A296">
        <v>25</v>
      </c>
      <c r="B296" t="s">
        <v>513</v>
      </c>
      <c r="C296">
        <v>2024</v>
      </c>
      <c r="D296">
        <v>9</v>
      </c>
      <c r="E296">
        <v>32</v>
      </c>
      <c r="F296" t="s">
        <v>463</v>
      </c>
    </row>
    <row r="297" spans="1:6">
      <c r="A297">
        <v>26</v>
      </c>
      <c r="B297" t="s">
        <v>513</v>
      </c>
      <c r="C297">
        <v>2024</v>
      </c>
      <c r="D297">
        <v>9</v>
      </c>
      <c r="E297">
        <v>14</v>
      </c>
      <c r="F297" t="s">
        <v>461</v>
      </c>
    </row>
    <row r="298" spans="1:6">
      <c r="A298">
        <v>27</v>
      </c>
      <c r="B298" t="s">
        <v>513</v>
      </c>
      <c r="C298">
        <v>2024</v>
      </c>
      <c r="D298">
        <v>9</v>
      </c>
      <c r="E298">
        <v>12</v>
      </c>
      <c r="F298" t="s">
        <v>465</v>
      </c>
    </row>
    <row r="299" spans="1:6">
      <c r="A299">
        <v>28</v>
      </c>
      <c r="B299" t="s">
        <v>513</v>
      </c>
      <c r="C299">
        <v>2024</v>
      </c>
      <c r="D299">
        <v>9</v>
      </c>
      <c r="E299">
        <v>274</v>
      </c>
    </row>
    <row r="300" spans="1:6">
      <c r="A300">
        <v>29</v>
      </c>
      <c r="B300" t="s">
        <v>513</v>
      </c>
      <c r="C300">
        <v>2024</v>
      </c>
      <c r="D300">
        <v>9</v>
      </c>
      <c r="E300">
        <v>0.96</v>
      </c>
    </row>
    <row r="301" spans="1:6">
      <c r="A301">
        <v>30</v>
      </c>
      <c r="B301" t="s">
        <v>513</v>
      </c>
      <c r="C301">
        <v>2024</v>
      </c>
      <c r="D301">
        <v>9</v>
      </c>
      <c r="E301">
        <v>0</v>
      </c>
    </row>
    <row r="302" spans="1:6">
      <c r="A302">
        <v>31</v>
      </c>
      <c r="B302" t="s">
        <v>513</v>
      </c>
      <c r="C302">
        <v>2024</v>
      </c>
      <c r="D302">
        <v>9</v>
      </c>
      <c r="E302">
        <v>0</v>
      </c>
    </row>
    <row r="303" spans="1:6">
      <c r="A303">
        <v>32</v>
      </c>
      <c r="B303" t="s">
        <v>513</v>
      </c>
      <c r="C303">
        <v>2024</v>
      </c>
      <c r="D303">
        <v>9</v>
      </c>
      <c r="E303">
        <v>0</v>
      </c>
    </row>
    <row r="304" spans="1:6">
      <c r="A304">
        <v>33</v>
      </c>
      <c r="B304" t="s">
        <v>513</v>
      </c>
      <c r="C304">
        <v>2024</v>
      </c>
      <c r="D304">
        <v>9</v>
      </c>
      <c r="E304">
        <v>0</v>
      </c>
    </row>
    <row r="305" spans="1:5">
      <c r="A305">
        <v>34</v>
      </c>
      <c r="B305" t="s">
        <v>513</v>
      </c>
      <c r="C305">
        <v>2024</v>
      </c>
      <c r="D305">
        <v>9</v>
      </c>
      <c r="E305">
        <v>0</v>
      </c>
    </row>
    <row r="306" spans="1:5">
      <c r="A306">
        <v>35</v>
      </c>
      <c r="B306" t="s">
        <v>513</v>
      </c>
      <c r="C306">
        <v>2024</v>
      </c>
      <c r="D306">
        <v>9</v>
      </c>
      <c r="E306">
        <v>0</v>
      </c>
    </row>
    <row r="307" spans="1:5">
      <c r="A307">
        <v>36</v>
      </c>
      <c r="B307" t="s">
        <v>513</v>
      </c>
      <c r="C307">
        <v>2024</v>
      </c>
      <c r="D307">
        <v>9</v>
      </c>
      <c r="E307">
        <v>0</v>
      </c>
    </row>
    <row r="308" spans="1:5">
      <c r="A308">
        <v>37</v>
      </c>
      <c r="B308" t="s">
        <v>513</v>
      </c>
      <c r="C308">
        <v>2024</v>
      </c>
      <c r="D308">
        <v>9</v>
      </c>
      <c r="E308">
        <v>0</v>
      </c>
    </row>
    <row r="309" spans="1:5">
      <c r="A309">
        <v>38</v>
      </c>
      <c r="B309" t="s">
        <v>513</v>
      </c>
      <c r="C309">
        <v>2024</v>
      </c>
      <c r="D309">
        <v>9</v>
      </c>
      <c r="E309">
        <v>0</v>
      </c>
    </row>
    <row r="310" spans="1:5">
      <c r="A310">
        <v>39</v>
      </c>
      <c r="B310" t="s">
        <v>513</v>
      </c>
      <c r="C310">
        <v>2024</v>
      </c>
      <c r="D310">
        <v>9</v>
      </c>
      <c r="E310">
        <v>0</v>
      </c>
    </row>
    <row r="311" spans="1:5">
      <c r="A311">
        <v>40</v>
      </c>
      <c r="B311" t="s">
        <v>513</v>
      </c>
      <c r="C311">
        <v>2024</v>
      </c>
      <c r="D311">
        <v>9</v>
      </c>
      <c r="E311">
        <v>0</v>
      </c>
    </row>
    <row r="312" spans="1:5">
      <c r="A312">
        <v>41</v>
      </c>
      <c r="B312" t="s">
        <v>513</v>
      </c>
      <c r="C312">
        <v>2024</v>
      </c>
      <c r="D312">
        <v>9</v>
      </c>
      <c r="E312">
        <v>0</v>
      </c>
    </row>
    <row r="313" spans="1:5">
      <c r="A313">
        <v>42</v>
      </c>
      <c r="B313" t="s">
        <v>513</v>
      </c>
      <c r="C313">
        <v>2024</v>
      </c>
      <c r="D313">
        <v>9</v>
      </c>
      <c r="E313">
        <v>0</v>
      </c>
    </row>
    <row r="314" spans="1:5">
      <c r="A314">
        <v>43</v>
      </c>
      <c r="B314" t="s">
        <v>513</v>
      </c>
      <c r="C314">
        <v>2024</v>
      </c>
      <c r="D314">
        <v>9</v>
      </c>
      <c r="E314">
        <v>0</v>
      </c>
    </row>
    <row r="315" spans="1:5">
      <c r="A315">
        <v>44</v>
      </c>
      <c r="B315" t="s">
        <v>513</v>
      </c>
      <c r="C315">
        <v>2024</v>
      </c>
      <c r="D315">
        <v>9</v>
      </c>
      <c r="E315">
        <v>0</v>
      </c>
    </row>
    <row r="316" spans="1:5">
      <c r="A316">
        <v>45</v>
      </c>
      <c r="B316" t="s">
        <v>513</v>
      </c>
      <c r="C316">
        <v>2024</v>
      </c>
      <c r="D316">
        <v>9</v>
      </c>
      <c r="E316">
        <v>0</v>
      </c>
    </row>
    <row r="317" spans="1:5">
      <c r="A317">
        <v>46</v>
      </c>
      <c r="B317" t="s">
        <v>513</v>
      </c>
      <c r="C317">
        <v>2024</v>
      </c>
      <c r="D317">
        <v>9</v>
      </c>
      <c r="E317">
        <v>0</v>
      </c>
    </row>
    <row r="318" spans="1:5">
      <c r="A318">
        <v>47</v>
      </c>
      <c r="B318" t="s">
        <v>513</v>
      </c>
      <c r="C318">
        <v>2024</v>
      </c>
      <c r="D318">
        <v>9</v>
      </c>
      <c r="E318">
        <v>0</v>
      </c>
    </row>
    <row r="319" spans="1:5">
      <c r="A319">
        <v>48</v>
      </c>
      <c r="B319" t="s">
        <v>513</v>
      </c>
      <c r="C319">
        <v>2024</v>
      </c>
      <c r="D319">
        <v>9</v>
      </c>
      <c r="E319">
        <v>0</v>
      </c>
    </row>
    <row r="320" spans="1:5">
      <c r="A320">
        <v>49</v>
      </c>
      <c r="B320" t="s">
        <v>513</v>
      </c>
      <c r="C320">
        <v>2024</v>
      </c>
      <c r="D320">
        <v>9</v>
      </c>
      <c r="E320">
        <v>0</v>
      </c>
    </row>
    <row r="321" spans="1:5">
      <c r="A321">
        <v>50</v>
      </c>
      <c r="B321" t="s">
        <v>513</v>
      </c>
      <c r="C321">
        <v>2024</v>
      </c>
      <c r="D321">
        <v>9</v>
      </c>
      <c r="E321">
        <v>0</v>
      </c>
    </row>
    <row r="322" spans="1:5">
      <c r="A322">
        <v>51</v>
      </c>
      <c r="B322" t="s">
        <v>513</v>
      </c>
      <c r="C322">
        <v>2024</v>
      </c>
      <c r="D322">
        <v>9</v>
      </c>
      <c r="E322">
        <v>0</v>
      </c>
    </row>
    <row r="323" spans="1:5">
      <c r="A323">
        <v>52</v>
      </c>
      <c r="B323" t="s">
        <v>513</v>
      </c>
      <c r="C323">
        <v>2024</v>
      </c>
      <c r="D323">
        <v>9</v>
      </c>
      <c r="E323">
        <v>0</v>
      </c>
    </row>
    <row r="324" spans="1:5">
      <c r="A324">
        <v>53</v>
      </c>
      <c r="B324" t="s">
        <v>513</v>
      </c>
      <c r="C324">
        <v>2024</v>
      </c>
      <c r="D324">
        <v>9</v>
      </c>
      <c r="E324">
        <v>0</v>
      </c>
    </row>
    <row r="325" spans="1:5">
      <c r="A325">
        <v>54</v>
      </c>
      <c r="B325" t="s">
        <v>513</v>
      </c>
      <c r="C325">
        <v>2024</v>
      </c>
      <c r="D325">
        <v>9</v>
      </c>
      <c r="E325"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FDE6E-4E4D-4FF9-BE76-5E6344F0EB5D}">
  <dimension ref="A1:E55"/>
  <sheetViews>
    <sheetView workbookViewId="0"/>
  </sheetViews>
  <sheetFormatPr defaultRowHeight="14.4"/>
  <cols>
    <col min="1" max="1" width="12.5546875" bestFit="1" customWidth="1"/>
    <col min="2" max="2" width="5.5546875" bestFit="1" customWidth="1"/>
    <col min="3" max="3" width="6.109375" bestFit="1" customWidth="1"/>
    <col min="4" max="4" width="11.88671875" bestFit="1" customWidth="1"/>
    <col min="5" max="5" width="15.44140625" bestFit="1" customWidth="1"/>
  </cols>
  <sheetData>
    <row r="1" spans="1:5">
      <c r="A1" t="s">
        <v>428</v>
      </c>
      <c r="B1" t="s">
        <v>430</v>
      </c>
      <c r="C1" t="s">
        <v>431</v>
      </c>
      <c r="D1" t="s">
        <v>432</v>
      </c>
      <c r="E1" t="s">
        <v>433</v>
      </c>
    </row>
    <row r="2" spans="1:5">
      <c r="A2">
        <v>1</v>
      </c>
      <c r="B2">
        <v>2024</v>
      </c>
      <c r="C2">
        <v>9</v>
      </c>
      <c r="D2">
        <v>178</v>
      </c>
    </row>
    <row r="3" spans="1:5">
      <c r="A3">
        <v>2</v>
      </c>
      <c r="B3">
        <v>2024</v>
      </c>
      <c r="C3">
        <v>9</v>
      </c>
      <c r="D3">
        <v>175</v>
      </c>
    </row>
    <row r="4" spans="1:5">
      <c r="A4">
        <v>3</v>
      </c>
      <c r="B4">
        <v>2024</v>
      </c>
      <c r="C4">
        <v>9</v>
      </c>
      <c r="D4">
        <v>95.75</v>
      </c>
    </row>
    <row r="5" spans="1:5">
      <c r="A5">
        <v>4</v>
      </c>
      <c r="B5">
        <v>2024</v>
      </c>
      <c r="C5">
        <v>9</v>
      </c>
      <c r="D5">
        <v>14</v>
      </c>
    </row>
    <row r="6" spans="1:5">
      <c r="A6">
        <v>5</v>
      </c>
      <c r="B6">
        <v>2024</v>
      </c>
      <c r="C6">
        <v>9</v>
      </c>
      <c r="D6">
        <v>0.08</v>
      </c>
    </row>
    <row r="7" spans="1:5">
      <c r="A7">
        <v>6</v>
      </c>
      <c r="B7">
        <v>2024</v>
      </c>
      <c r="C7">
        <v>9</v>
      </c>
      <c r="D7">
        <v>645</v>
      </c>
    </row>
    <row r="8" spans="1:5">
      <c r="A8">
        <v>7</v>
      </c>
      <c r="B8">
        <v>2024</v>
      </c>
      <c r="C8">
        <v>9</v>
      </c>
      <c r="D8">
        <v>2.33</v>
      </c>
    </row>
    <row r="9" spans="1:5">
      <c r="A9">
        <v>8</v>
      </c>
      <c r="B9">
        <v>2024</v>
      </c>
      <c r="C9">
        <v>9</v>
      </c>
      <c r="D9">
        <v>152</v>
      </c>
    </row>
    <row r="10" spans="1:5">
      <c r="A10">
        <v>9</v>
      </c>
      <c r="B10">
        <v>2024</v>
      </c>
      <c r="C10">
        <v>9</v>
      </c>
      <c r="D10">
        <v>3.47</v>
      </c>
    </row>
    <row r="11" spans="1:5">
      <c r="A11">
        <v>10</v>
      </c>
      <c r="B11">
        <v>2024</v>
      </c>
      <c r="C11">
        <v>9</v>
      </c>
      <c r="D11">
        <v>7</v>
      </c>
    </row>
    <row r="12" spans="1:5">
      <c r="A12">
        <v>11</v>
      </c>
      <c r="B12">
        <v>2024</v>
      </c>
      <c r="C12">
        <v>9</v>
      </c>
      <c r="D12">
        <v>4</v>
      </c>
    </row>
    <row r="13" spans="1:5">
      <c r="A13">
        <v>12</v>
      </c>
      <c r="B13">
        <v>2024</v>
      </c>
      <c r="C13">
        <v>9</v>
      </c>
      <c r="D13">
        <v>32</v>
      </c>
    </row>
    <row r="14" spans="1:5">
      <c r="A14">
        <v>13</v>
      </c>
      <c r="B14">
        <v>2024</v>
      </c>
      <c r="C14">
        <v>9</v>
      </c>
      <c r="D14">
        <v>49</v>
      </c>
    </row>
    <row r="15" spans="1:5">
      <c r="A15">
        <v>14</v>
      </c>
      <c r="B15">
        <v>2024</v>
      </c>
      <c r="C15">
        <v>9</v>
      </c>
      <c r="D15">
        <v>15</v>
      </c>
    </row>
    <row r="16" spans="1:5">
      <c r="A16">
        <v>15</v>
      </c>
      <c r="B16">
        <v>2024</v>
      </c>
      <c r="C16">
        <v>9</v>
      </c>
      <c r="D16">
        <v>42</v>
      </c>
    </row>
    <row r="17" spans="1:5">
      <c r="A17">
        <v>16</v>
      </c>
      <c r="B17">
        <v>2024</v>
      </c>
      <c r="C17">
        <v>9</v>
      </c>
      <c r="D17">
        <v>27</v>
      </c>
    </row>
    <row r="18" spans="1:5">
      <c r="A18">
        <v>17</v>
      </c>
      <c r="B18">
        <v>2024</v>
      </c>
      <c r="C18">
        <v>9</v>
      </c>
      <c r="D18">
        <v>4000</v>
      </c>
    </row>
    <row r="19" spans="1:5">
      <c r="A19">
        <v>18</v>
      </c>
      <c r="B19">
        <v>2024</v>
      </c>
      <c r="C19">
        <v>9</v>
      </c>
      <c r="D19">
        <v>1953</v>
      </c>
    </row>
    <row r="20" spans="1:5">
      <c r="A20">
        <v>19</v>
      </c>
      <c r="B20">
        <v>2024</v>
      </c>
      <c r="C20">
        <v>9</v>
      </c>
      <c r="D20">
        <v>381</v>
      </c>
    </row>
    <row r="21" spans="1:5">
      <c r="A21">
        <v>20</v>
      </c>
      <c r="B21">
        <v>2024</v>
      </c>
      <c r="C21">
        <v>9</v>
      </c>
      <c r="D21">
        <v>1201</v>
      </c>
    </row>
    <row r="22" spans="1:5">
      <c r="A22">
        <v>21</v>
      </c>
      <c r="B22">
        <v>2024</v>
      </c>
      <c r="C22">
        <v>9</v>
      </c>
      <c r="D22">
        <v>371</v>
      </c>
    </row>
    <row r="23" spans="1:5">
      <c r="A23">
        <v>22</v>
      </c>
      <c r="B23">
        <v>2024</v>
      </c>
      <c r="C23">
        <v>9</v>
      </c>
      <c r="D23">
        <v>0.19508400000000001</v>
      </c>
    </row>
    <row r="24" spans="1:5">
      <c r="A24">
        <v>23</v>
      </c>
      <c r="B24">
        <v>2024</v>
      </c>
      <c r="C24">
        <v>9</v>
      </c>
      <c r="D24">
        <v>0.61495100000000003</v>
      </c>
    </row>
    <row r="25" spans="1:5">
      <c r="A25">
        <v>24</v>
      </c>
      <c r="B25">
        <v>2024</v>
      </c>
      <c r="C25">
        <v>9</v>
      </c>
      <c r="D25">
        <v>0.18996399999999999</v>
      </c>
    </row>
    <row r="26" spans="1:5">
      <c r="A26">
        <v>25</v>
      </c>
      <c r="B26">
        <v>2024</v>
      </c>
      <c r="C26">
        <v>9</v>
      </c>
      <c r="D26">
        <v>637</v>
      </c>
      <c r="E26" t="s">
        <v>465</v>
      </c>
    </row>
    <row r="27" spans="1:5">
      <c r="A27">
        <v>26</v>
      </c>
      <c r="B27">
        <v>2024</v>
      </c>
      <c r="C27">
        <v>9</v>
      </c>
      <c r="D27">
        <v>579</v>
      </c>
      <c r="E27" t="s">
        <v>461</v>
      </c>
    </row>
    <row r="28" spans="1:5">
      <c r="A28">
        <v>27</v>
      </c>
      <c r="B28">
        <v>2024</v>
      </c>
      <c r="C28">
        <v>9</v>
      </c>
      <c r="D28">
        <v>480</v>
      </c>
      <c r="E28" t="s">
        <v>463</v>
      </c>
    </row>
    <row r="29" spans="1:5">
      <c r="A29">
        <v>28</v>
      </c>
      <c r="B29">
        <v>2024</v>
      </c>
      <c r="C29">
        <v>9</v>
      </c>
      <c r="D29">
        <v>645</v>
      </c>
    </row>
    <row r="30" spans="1:5">
      <c r="A30">
        <v>29</v>
      </c>
      <c r="B30">
        <v>2024</v>
      </c>
      <c r="C30">
        <v>9</v>
      </c>
      <c r="D30">
        <v>0.85</v>
      </c>
    </row>
    <row r="31" spans="1:5">
      <c r="A31">
        <v>30</v>
      </c>
      <c r="B31">
        <v>2024</v>
      </c>
      <c r="C31">
        <v>9</v>
      </c>
      <c r="D31">
        <v>0</v>
      </c>
    </row>
    <row r="32" spans="1:5">
      <c r="A32">
        <v>31</v>
      </c>
      <c r="B32">
        <v>2024</v>
      </c>
      <c r="C32">
        <v>9</v>
      </c>
      <c r="D32">
        <v>0</v>
      </c>
    </row>
    <row r="33" spans="1:4">
      <c r="A33">
        <v>32</v>
      </c>
      <c r="B33">
        <v>2024</v>
      </c>
      <c r="C33">
        <v>9</v>
      </c>
      <c r="D33">
        <v>0</v>
      </c>
    </row>
    <row r="34" spans="1:4">
      <c r="A34">
        <v>33</v>
      </c>
      <c r="B34">
        <v>2024</v>
      </c>
      <c r="C34">
        <v>9</v>
      </c>
      <c r="D34">
        <v>0</v>
      </c>
    </row>
    <row r="35" spans="1:4">
      <c r="A35">
        <v>34</v>
      </c>
      <c r="B35">
        <v>2024</v>
      </c>
      <c r="C35">
        <v>9</v>
      </c>
      <c r="D35">
        <v>0</v>
      </c>
    </row>
    <row r="36" spans="1:4">
      <c r="A36">
        <v>35</v>
      </c>
      <c r="B36">
        <v>2024</v>
      </c>
      <c r="C36">
        <v>9</v>
      </c>
      <c r="D36">
        <v>0</v>
      </c>
    </row>
    <row r="37" spans="1:4">
      <c r="A37">
        <v>36</v>
      </c>
      <c r="B37">
        <v>2024</v>
      </c>
      <c r="C37">
        <v>9</v>
      </c>
      <c r="D37">
        <v>0</v>
      </c>
    </row>
    <row r="38" spans="1:4">
      <c r="A38">
        <v>37</v>
      </c>
      <c r="B38">
        <v>2024</v>
      </c>
      <c r="C38">
        <v>9</v>
      </c>
      <c r="D38">
        <v>0</v>
      </c>
    </row>
    <row r="39" spans="1:4">
      <c r="A39">
        <v>38</v>
      </c>
      <c r="B39">
        <v>2024</v>
      </c>
      <c r="C39">
        <v>9</v>
      </c>
      <c r="D39">
        <v>0</v>
      </c>
    </row>
    <row r="40" spans="1:4">
      <c r="A40">
        <v>39</v>
      </c>
      <c r="B40">
        <v>2024</v>
      </c>
      <c r="C40">
        <v>9</v>
      </c>
      <c r="D40">
        <v>0</v>
      </c>
    </row>
    <row r="41" spans="1:4">
      <c r="A41">
        <v>40</v>
      </c>
      <c r="B41">
        <v>2024</v>
      </c>
      <c r="C41">
        <v>9</v>
      </c>
      <c r="D41">
        <v>0</v>
      </c>
    </row>
    <row r="42" spans="1:4">
      <c r="A42">
        <v>41</v>
      </c>
      <c r="B42">
        <v>2024</v>
      </c>
      <c r="C42">
        <v>9</v>
      </c>
      <c r="D42">
        <v>0</v>
      </c>
    </row>
    <row r="43" spans="1:4">
      <c r="A43">
        <v>42</v>
      </c>
      <c r="B43">
        <v>2024</v>
      </c>
      <c r="C43">
        <v>9</v>
      </c>
      <c r="D43">
        <v>0</v>
      </c>
    </row>
    <row r="44" spans="1:4">
      <c r="A44">
        <v>43</v>
      </c>
      <c r="B44">
        <v>2024</v>
      </c>
      <c r="C44">
        <v>9</v>
      </c>
      <c r="D44">
        <v>0</v>
      </c>
    </row>
    <row r="45" spans="1:4">
      <c r="A45">
        <v>44</v>
      </c>
      <c r="B45">
        <v>2024</v>
      </c>
      <c r="C45">
        <v>9</v>
      </c>
      <c r="D45">
        <v>0</v>
      </c>
    </row>
    <row r="46" spans="1:4">
      <c r="A46">
        <v>45</v>
      </c>
      <c r="B46">
        <v>2024</v>
      </c>
      <c r="C46">
        <v>9</v>
      </c>
      <c r="D46">
        <v>0</v>
      </c>
    </row>
    <row r="47" spans="1:4">
      <c r="A47">
        <v>46</v>
      </c>
      <c r="B47">
        <v>2024</v>
      </c>
      <c r="C47">
        <v>9</v>
      </c>
      <c r="D47">
        <v>0</v>
      </c>
    </row>
    <row r="48" spans="1:4">
      <c r="A48">
        <v>47</v>
      </c>
      <c r="B48">
        <v>2024</v>
      </c>
      <c r="C48">
        <v>9</v>
      </c>
      <c r="D48">
        <v>0</v>
      </c>
    </row>
    <row r="49" spans="1:4">
      <c r="A49">
        <v>48</v>
      </c>
      <c r="B49">
        <v>2024</v>
      </c>
      <c r="C49">
        <v>9</v>
      </c>
      <c r="D49">
        <v>0</v>
      </c>
    </row>
    <row r="50" spans="1:4">
      <c r="A50">
        <v>49</v>
      </c>
      <c r="B50">
        <v>2024</v>
      </c>
      <c r="C50">
        <v>9</v>
      </c>
      <c r="D50">
        <v>0</v>
      </c>
    </row>
    <row r="51" spans="1:4">
      <c r="A51">
        <v>50</v>
      </c>
      <c r="B51">
        <v>2024</v>
      </c>
      <c r="C51">
        <v>9</v>
      </c>
      <c r="D51">
        <v>0</v>
      </c>
    </row>
    <row r="52" spans="1:4">
      <c r="A52">
        <v>51</v>
      </c>
      <c r="B52">
        <v>2024</v>
      </c>
      <c r="C52">
        <v>9</v>
      </c>
      <c r="D52">
        <v>0</v>
      </c>
    </row>
    <row r="53" spans="1:4">
      <c r="A53">
        <v>52</v>
      </c>
      <c r="B53">
        <v>2024</v>
      </c>
      <c r="C53">
        <v>9</v>
      </c>
      <c r="D53">
        <v>0</v>
      </c>
    </row>
    <row r="54" spans="1:4">
      <c r="A54">
        <v>53</v>
      </c>
      <c r="B54">
        <v>2024</v>
      </c>
      <c r="C54">
        <v>9</v>
      </c>
      <c r="D54">
        <v>0</v>
      </c>
    </row>
    <row r="55" spans="1:4">
      <c r="A55">
        <v>54</v>
      </c>
      <c r="B55">
        <v>2024</v>
      </c>
      <c r="C55">
        <v>9</v>
      </c>
      <c r="D55"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FA32C-806F-4B4E-ABB1-E3B822D5CA18}">
  <sheetPr>
    <tabColor theme="5" tint="0.39997558519241921"/>
  </sheetPr>
  <dimension ref="B2:K53"/>
  <sheetViews>
    <sheetView topLeftCell="A3" zoomScale="85" zoomScaleNormal="85" workbookViewId="0">
      <selection activeCell="S36" sqref="S36"/>
    </sheetView>
  </sheetViews>
  <sheetFormatPr defaultRowHeight="14.4"/>
  <cols>
    <col min="9" max="9" width="6.5546875" customWidth="1"/>
  </cols>
  <sheetData>
    <row r="2" spans="2:3" ht="21">
      <c r="B2" s="45" t="s">
        <v>22</v>
      </c>
      <c r="C2" s="6" t="s">
        <v>548</v>
      </c>
    </row>
    <row r="4" spans="2:3" ht="21">
      <c r="B4" s="45" t="s">
        <v>24</v>
      </c>
      <c r="C4" s="6" t="s">
        <v>549</v>
      </c>
    </row>
    <row r="6" spans="2:3" ht="21">
      <c r="B6" s="45" t="s">
        <v>27</v>
      </c>
      <c r="C6" s="6" t="s">
        <v>550</v>
      </c>
    </row>
    <row r="11" spans="2:3" ht="18.600000000000001" customHeight="1"/>
    <row r="22" spans="5:11" ht="21">
      <c r="E22" s="2"/>
      <c r="F22" s="2"/>
      <c r="G22" s="2"/>
      <c r="H22" s="2"/>
      <c r="I22" s="2"/>
      <c r="K22" s="2"/>
    </row>
    <row r="37" spans="2:11" ht="21">
      <c r="E37" s="2"/>
      <c r="F37" s="2"/>
      <c r="G37" s="2"/>
      <c r="H37" s="2"/>
      <c r="I37" s="2"/>
      <c r="K37" s="2"/>
    </row>
    <row r="44" spans="2:11" ht="21">
      <c r="B44" s="45" t="s">
        <v>27</v>
      </c>
      <c r="C44" s="6" t="s">
        <v>551</v>
      </c>
      <c r="K44" s="44" t="s">
        <v>539</v>
      </c>
    </row>
    <row r="45" spans="2:11" ht="18">
      <c r="G45" s="5"/>
    </row>
    <row r="46" spans="2:11" ht="21">
      <c r="C46" s="3" t="s">
        <v>540</v>
      </c>
      <c r="G46" s="4"/>
    </row>
    <row r="49" spans="3:4" ht="18">
      <c r="C49" s="6"/>
    </row>
    <row r="50" spans="3:4" ht="15.6">
      <c r="C50" s="41"/>
    </row>
    <row r="52" spans="3:4" ht="18">
      <c r="C52" s="6"/>
    </row>
    <row r="53" spans="3:4" ht="21">
      <c r="C53" s="41"/>
      <c r="D53" s="2"/>
    </row>
  </sheetData>
  <hyperlinks>
    <hyperlink ref="K44" r:id="rId1" display="../../../../../../../:f:/r/sites/FLIK_Sam-E15Channel/Shared Documents/E15 Channel/Analytics/Analytics Hours/Monthly Infographic/Published Reports?csf=1&amp;web=1&amp;e=Q0WBzN" xr:uid="{8AE75B0E-CB18-4BDA-B5BE-4C8AE988571D}"/>
  </hyperlinks>
  <pageMargins left="0.7" right="0.7" top="0.75" bottom="0.75" header="0.3" footer="0.3"/>
  <pageSetup orientation="portrait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D8ACD-AD4F-4EBA-B72A-1F8947BCDDD6}">
  <sheetPr codeName="Sheet11">
    <tabColor theme="5" tint="0.39997558519241921"/>
  </sheetPr>
  <dimension ref="B2:B20"/>
  <sheetViews>
    <sheetView zoomScaleNormal="115" workbookViewId="0">
      <selection activeCell="AD15" sqref="AD15:AD16"/>
    </sheetView>
  </sheetViews>
  <sheetFormatPr defaultRowHeight="14.4"/>
  <sheetData>
    <row r="2" spans="2:2" ht="18">
      <c r="B2" s="5" t="s">
        <v>552</v>
      </c>
    </row>
    <row r="3" spans="2:2">
      <c r="B3" t="s">
        <v>553</v>
      </c>
    </row>
    <row r="4" spans="2:2">
      <c r="B4" t="s">
        <v>554</v>
      </c>
    </row>
    <row r="5" spans="2:2">
      <c r="B5" t="s">
        <v>555</v>
      </c>
    </row>
    <row r="8" spans="2:2" ht="18">
      <c r="B8" s="5" t="s">
        <v>556</v>
      </c>
    </row>
    <row r="9" spans="2:2">
      <c r="B9" t="s">
        <v>553</v>
      </c>
    </row>
    <row r="10" spans="2:2">
      <c r="B10" t="s">
        <v>554</v>
      </c>
    </row>
    <row r="11" spans="2:2">
      <c r="B11" t="s">
        <v>555</v>
      </c>
    </row>
    <row r="12" spans="2:2">
      <c r="B12" t="s">
        <v>557</v>
      </c>
    </row>
    <row r="15" spans="2:2" ht="18">
      <c r="B15" s="5" t="s">
        <v>558</v>
      </c>
    </row>
    <row r="16" spans="2:2">
      <c r="B16" t="s">
        <v>559</v>
      </c>
    </row>
    <row r="17" spans="2:2">
      <c r="B17" t="s">
        <v>560</v>
      </c>
    </row>
    <row r="20" spans="2:2">
      <c r="B20" t="s">
        <v>561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11AB10DDE7CE43ADB0FDD04E53378F" ma:contentTypeVersion="12" ma:contentTypeDescription="Create a new document." ma:contentTypeScope="" ma:versionID="8ddf8c684377c909f2a74c3f293fb9c6">
  <xsd:schema xmlns:xsd="http://www.w3.org/2001/XMLSchema" xmlns:xs="http://www.w3.org/2001/XMLSchema" xmlns:p="http://schemas.microsoft.com/office/2006/metadata/properties" xmlns:ns2="6b37558f-c903-483b-b7e0-94f3ac52ccc0" xmlns:ns3="8ba4cb59-3542-4354-8332-89ad3d408c9f" targetNamespace="http://schemas.microsoft.com/office/2006/metadata/properties" ma:root="true" ma:fieldsID="259f74aa879f262e90c422a8a46ef0be" ns2:_="" ns3:_="">
    <xsd:import namespace="6b37558f-c903-483b-b7e0-94f3ac52ccc0"/>
    <xsd:import namespace="8ba4cb59-3542-4354-8332-89ad3d408c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37558f-c903-483b-b7e0-94f3ac52cc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912e36a2-49b7-4b00-ba12-1750025de1a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a4cb59-3542-4354-8332-89ad3d408c9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b37558f-c903-483b-b7e0-94f3ac52ccc0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7096AEF2-632A-459E-ACF2-A651B789FA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37558f-c903-483b-b7e0-94f3ac52ccc0"/>
    <ds:schemaRef ds:uri="8ba4cb59-3542-4354-8332-89ad3d408c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AAF19A5-C64E-437C-912C-1F38B8A24564}">
  <ds:schemaRefs>
    <ds:schemaRef ds:uri="http://schemas.microsoft.com/office/2006/metadata/properties"/>
    <ds:schemaRef ds:uri="http://schemas.microsoft.com/office/infopath/2007/PartnerControls"/>
    <ds:schemaRef ds:uri="6b37558f-c903-483b-b7e0-94f3ac52ccc0"/>
  </ds:schemaRefs>
</ds:datastoreItem>
</file>

<file path=customXml/itemProps3.xml><?xml version="1.0" encoding="utf-8"?>
<ds:datastoreItem xmlns:ds="http://schemas.openxmlformats.org/officeDocument/2006/customXml" ds:itemID="{54CFF3BF-6DC9-4817-B574-A6B190BC5E3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066639FA-229B-47EE-8E13-3A0D202BF9FD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cd62b7dd-4b48-44bd-90e7-e143a22c8ead}" enabled="0" method="" siteId="{cd62b7dd-4b48-44bd-90e7-e143a22c8ea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Gardner_COPY FOR FUTURE month</vt:lpstr>
      <vt:lpstr>STEP BY STEP DIRECTIONS</vt:lpstr>
      <vt:lpstr>code_individual SDDR</vt:lpstr>
      <vt:lpstr>code_all SDDRs</vt:lpstr>
      <vt:lpstr>code_QA hyperlink</vt:lpstr>
      <vt:lpstr>Salem</vt:lpstr>
      <vt:lpstr>Donohue</vt:lpstr>
      <vt:lpstr>Gardner</vt:lpstr>
      <vt:lpstr>Soguero</vt:lpstr>
      <vt:lpstr>Russo</vt:lpstr>
      <vt:lpstr>Feltman</vt:lpstr>
      <vt:lpstr>reference sheet_indiv SDDR</vt:lpstr>
      <vt:lpstr>SDDR - RP+O</vt:lpstr>
      <vt:lpstr>All SDDR</vt:lpstr>
      <vt:lpstr>Overall - RP+O</vt:lpstr>
      <vt:lpstr>reference sheet_all SDDR</vt:lpstr>
      <vt:lpstr>print to pdf directions</vt:lpstr>
      <vt:lpstr>metrics location on report</vt:lpstr>
      <vt:lpstr>Hyperlinks</vt:lpstr>
      <vt:lpstr>SQL Query SDDR</vt:lpstr>
      <vt:lpstr>SQL Query Overall</vt:lpstr>
      <vt:lpstr>save to pdf directions</vt:lpstr>
      <vt:lpstr>notes for next month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Wood, Brendon</dc:creator>
  <cp:keywords/>
  <dc:description/>
  <cp:lastModifiedBy>Parikh, Hard</cp:lastModifiedBy>
  <cp:revision/>
  <dcterms:created xsi:type="dcterms:W3CDTF">2024-08-22T23:16:24Z</dcterms:created>
  <dcterms:modified xsi:type="dcterms:W3CDTF">2024-10-28T00:51:50Z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0x0101009A11AB10DDE7CE43ADB0FDD04E53378F</vt:lpwstr>
  </property>
  <property fmtid="{D5CDD505-2E9C-101B-9397-08002B2CF9AE}" pid="3" name="MediaServiceImageTags">
    <vt:lpwstr/>
  </property>
</Properties>
</file>