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00"/>
  </bookViews>
  <sheets>
    <sheet name="Objective" sheetId="1" r:id="rId1"/>
    <sheet name="Teams" sheetId="2" r:id="rId2"/>
    <sheet name="CostMatrix" sheetId="3" r:id="rId3"/>
    <sheet name="MatchSchedule" sheetId="4" r:id="rId4"/>
    <sheet name="MinimumCost" sheetId="18" r:id="rId5"/>
    <sheet name="8TeamsSolution" sheetId="11" r:id="rId6"/>
    <sheet name="4TeamsSolution" sheetId="12" r:id="rId7"/>
    <sheet name="RiskSerializationData" sheetId="17" state="hidden" r:id="rId8"/>
    <sheet name="Betting" sheetId="15" r:id="rId9"/>
  </sheets>
  <externalReferences>
    <externalReference r:id="rId10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"Z6W6VPJB1W1MCBNLHBMAKHPX"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6" hidden="1">'4TeamsSolution'!$C$3:$F$6</definedName>
    <definedName name="solver_adj" localSheetId="5" hidden="1">'8TeamsSolution'!$D$4:$K$10</definedName>
    <definedName name="solver_adj" localSheetId="8" hidden="1">Betting!$J$7:$J$14</definedName>
    <definedName name="solver_adj" localSheetId="4" hidden="1">MinimumCost!$C$19:$J$19</definedName>
    <definedName name="solver_cvg" localSheetId="6" hidden="1">0.0001</definedName>
    <definedName name="solver_cvg" localSheetId="5" hidden="1">0.0001</definedName>
    <definedName name="solver_cvg" localSheetId="8" hidden="1">0.0001</definedName>
    <definedName name="solver_cvg" localSheetId="4" hidden="1">0.0001</definedName>
    <definedName name="solver_drv" localSheetId="6" hidden="1">1</definedName>
    <definedName name="solver_drv" localSheetId="5" hidden="1">1</definedName>
    <definedName name="solver_drv" localSheetId="8" hidden="1">2</definedName>
    <definedName name="solver_drv" localSheetId="4" hidden="1">1</definedName>
    <definedName name="solver_eng" localSheetId="6" hidden="1">3</definedName>
    <definedName name="solver_eng" localSheetId="5" hidden="1">3</definedName>
    <definedName name="solver_eng" localSheetId="8" hidden="1">2</definedName>
    <definedName name="solver_eng" localSheetId="4" hidden="1">3</definedName>
    <definedName name="solver_est" localSheetId="6" hidden="1">1</definedName>
    <definedName name="solver_est" localSheetId="5" hidden="1">1</definedName>
    <definedName name="solver_est" localSheetId="8" hidden="1">1</definedName>
    <definedName name="solver_est" localSheetId="4" hidden="1">1</definedName>
    <definedName name="solver_itr" localSheetId="6" hidden="1">2147483647</definedName>
    <definedName name="solver_itr" localSheetId="5" hidden="1">2147483647</definedName>
    <definedName name="solver_itr" localSheetId="8" hidden="1">2147483647</definedName>
    <definedName name="solver_itr" localSheetId="4" hidden="1">2147483647</definedName>
    <definedName name="solver_lhs1" localSheetId="6" hidden="1">'4TeamsSolution'!$C$3:$F$6</definedName>
    <definedName name="solver_lhs1" localSheetId="5" hidden="1">'8TeamsSolution'!$D$11:$K$11</definedName>
    <definedName name="solver_lhs1" localSheetId="8" hidden="1">Betting!$J$15</definedName>
    <definedName name="solver_lhs1" localSheetId="4" hidden="1">MinimumCost!$C$19:$J$19</definedName>
    <definedName name="solver_lhs2" localSheetId="6" hidden="1">'4TeamsSolution'!$C$7:$F$7</definedName>
    <definedName name="solver_lhs2" localSheetId="5" hidden="1">'8TeamsSolution'!$D$4:$K$10</definedName>
    <definedName name="solver_lhs2" localSheetId="8" hidden="1">Betting!$J$7:$J$14</definedName>
    <definedName name="solver_lhs3" localSheetId="6" hidden="1">'4TeamsSolution'!$G$12:$G$15</definedName>
    <definedName name="solver_lhs3" localSheetId="5" hidden="1">'8TeamsSolution'!$L$16:$L$23</definedName>
    <definedName name="solver_lhs4" localSheetId="6" hidden="1">'4TeamsSolution'!$G$3:$G$6</definedName>
    <definedName name="solver_lhs4" localSheetId="5" hidden="1">'8TeamsSolution'!$L$3:$L$10</definedName>
    <definedName name="solver_mip" localSheetId="6" hidden="1">2147483647</definedName>
    <definedName name="solver_mip" localSheetId="5" hidden="1">2147483647</definedName>
    <definedName name="solver_mip" localSheetId="8" hidden="1">2147483647</definedName>
    <definedName name="solver_mip" localSheetId="4" hidden="1">2147483647</definedName>
    <definedName name="solver_mni" localSheetId="6" hidden="1">3000</definedName>
    <definedName name="solver_mni" localSheetId="5" hidden="1">30000</definedName>
    <definedName name="solver_mni" localSheetId="8" hidden="1">30</definedName>
    <definedName name="solver_mni" localSheetId="4" hidden="1">30</definedName>
    <definedName name="solver_mrt" localSheetId="6" hidden="1">0.075</definedName>
    <definedName name="solver_mrt" localSheetId="5" hidden="1">0.075</definedName>
    <definedName name="solver_mrt" localSheetId="8" hidden="1">0.075</definedName>
    <definedName name="solver_mrt" localSheetId="4" hidden="1">0.075</definedName>
    <definedName name="solver_msl" localSheetId="6" hidden="1">2</definedName>
    <definedName name="solver_msl" localSheetId="5" hidden="1">2</definedName>
    <definedName name="solver_msl" localSheetId="8" hidden="1">2</definedName>
    <definedName name="solver_msl" localSheetId="4" hidden="1">2</definedName>
    <definedName name="solver_neg" localSheetId="6" hidden="1">1</definedName>
    <definedName name="solver_neg" localSheetId="5" hidden="1">1</definedName>
    <definedName name="solver_neg" localSheetId="8" hidden="1">1</definedName>
    <definedName name="solver_neg" localSheetId="4" hidden="1">1</definedName>
    <definedName name="solver_nod" localSheetId="6" hidden="1">2147483647</definedName>
    <definedName name="solver_nod" localSheetId="5" hidden="1">2147483647</definedName>
    <definedName name="solver_nod" localSheetId="8" hidden="1">2147483647</definedName>
    <definedName name="solver_nod" localSheetId="4" hidden="1">2147483647</definedName>
    <definedName name="solver_num" localSheetId="6" hidden="1">4</definedName>
    <definedName name="solver_num" localSheetId="5" hidden="1">4</definedName>
    <definedName name="solver_num" localSheetId="8" hidden="1">2</definedName>
    <definedName name="solver_num" localSheetId="4" hidden="1">1</definedName>
    <definedName name="solver_nwt" localSheetId="6" hidden="1">1</definedName>
    <definedName name="solver_nwt" localSheetId="5" hidden="1">1</definedName>
    <definedName name="solver_nwt" localSheetId="8" hidden="1">1</definedName>
    <definedName name="solver_nwt" localSheetId="4" hidden="1">1</definedName>
    <definedName name="solver_opt" localSheetId="6" hidden="1">'4TeamsSolution'!$J$7</definedName>
    <definedName name="solver_opt" localSheetId="5" hidden="1">'8TeamsSolution'!$O$11</definedName>
    <definedName name="solver_opt" localSheetId="8" hidden="1">Betting!$G$19</definedName>
    <definedName name="solver_opt" localSheetId="4" hidden="1">MinimumCost!$C$22</definedName>
    <definedName name="solver_pre" localSheetId="6" hidden="1">0.000001</definedName>
    <definedName name="solver_pre" localSheetId="5" hidden="1">0.000001</definedName>
    <definedName name="solver_pre" localSheetId="8" hidden="1">0.000001</definedName>
    <definedName name="solver_pre" localSheetId="4" hidden="1">0.000001</definedName>
    <definedName name="solver_rbv" localSheetId="6" hidden="1">1</definedName>
    <definedName name="solver_rbv" localSheetId="5" hidden="1">1</definedName>
    <definedName name="solver_rbv" localSheetId="8" hidden="1">2</definedName>
    <definedName name="solver_rbv" localSheetId="4" hidden="1">1</definedName>
    <definedName name="solver_rel1" localSheetId="6" hidden="1">5</definedName>
    <definedName name="solver_rel1" localSheetId="5" hidden="1">2</definedName>
    <definedName name="solver_rel1" localSheetId="8" hidden="1">2</definedName>
    <definedName name="solver_rel1" localSheetId="4" hidden="1">6</definedName>
    <definedName name="solver_rel2" localSheetId="6" hidden="1">2</definedName>
    <definedName name="solver_rel2" localSheetId="5" hidden="1">5</definedName>
    <definedName name="solver_rel2" localSheetId="8" hidden="1">5</definedName>
    <definedName name="solver_rel3" localSheetId="6" hidden="1">2</definedName>
    <definedName name="solver_rel3" localSheetId="5" hidden="1">2</definedName>
    <definedName name="solver_rel4" localSheetId="6" hidden="1">2</definedName>
    <definedName name="solver_rel4" localSheetId="5" hidden="1">2</definedName>
    <definedName name="solver_rhs1" localSheetId="6" hidden="1">binary</definedName>
    <definedName name="solver_rhs1" localSheetId="5" hidden="1">'8TeamsSolution'!$D$13:$K$13</definedName>
    <definedName name="solver_rhs1" localSheetId="8" hidden="1">Betting!$J$17</definedName>
    <definedName name="solver_rhs1" localSheetId="4" hidden="1">AllDifferent</definedName>
    <definedName name="solver_rhs2" localSheetId="6" hidden="1">'4TeamsSolution'!$C$9:$F$9</definedName>
    <definedName name="solver_rhs2" localSheetId="5" hidden="1">binary</definedName>
    <definedName name="solver_rhs2" localSheetId="8" hidden="1">binary</definedName>
    <definedName name="solver_rhs3" localSheetId="6" hidden="1">'4TeamsSolution'!$I$12:$I$15</definedName>
    <definedName name="solver_rhs3" localSheetId="5" hidden="1">'8TeamsSolution'!$N$16:$N$23</definedName>
    <definedName name="solver_rhs4" localSheetId="6" hidden="1">'4TeamsSolution'!$I$3:$I$6</definedName>
    <definedName name="solver_rhs4" localSheetId="5" hidden="1">'8TeamsSolution'!$N$3:$N$10</definedName>
    <definedName name="solver_rlx" localSheetId="6" hidden="1">2</definedName>
    <definedName name="solver_rlx" localSheetId="5" hidden="1">2</definedName>
    <definedName name="solver_rlx" localSheetId="8" hidden="1">2</definedName>
    <definedName name="solver_rlx" localSheetId="4" hidden="1">2</definedName>
    <definedName name="solver_rsd" localSheetId="6" hidden="1">0</definedName>
    <definedName name="solver_rsd" localSheetId="5" hidden="1">0</definedName>
    <definedName name="solver_rsd" localSheetId="8" hidden="1">0</definedName>
    <definedName name="solver_rsd" localSheetId="4" hidden="1">0</definedName>
    <definedName name="solver_scl" localSheetId="6" hidden="1">1</definedName>
    <definedName name="solver_scl" localSheetId="5" hidden="1">1</definedName>
    <definedName name="solver_scl" localSheetId="8" hidden="1">2</definedName>
    <definedName name="solver_scl" localSheetId="4" hidden="1">1</definedName>
    <definedName name="solver_sho" localSheetId="6" hidden="1">2</definedName>
    <definedName name="solver_sho" localSheetId="5" hidden="1">2</definedName>
    <definedName name="solver_sho" localSheetId="8" hidden="1">2</definedName>
    <definedName name="solver_sho" localSheetId="4" hidden="1">2</definedName>
    <definedName name="solver_ssz" localSheetId="6" hidden="1">100</definedName>
    <definedName name="solver_ssz" localSheetId="5" hidden="1">100</definedName>
    <definedName name="solver_ssz" localSheetId="8" hidden="1">100</definedName>
    <definedName name="solver_ssz" localSheetId="4" hidden="1">100</definedName>
    <definedName name="solver_tim" localSheetId="6" hidden="1">2147483647</definedName>
    <definedName name="solver_tim" localSheetId="5" hidden="1">2147483647</definedName>
    <definedName name="solver_tim" localSheetId="8" hidden="1">2147483647</definedName>
    <definedName name="solver_tim" localSheetId="4" hidden="1">2147483647</definedName>
    <definedName name="solver_tol" localSheetId="6" hidden="1">0.01</definedName>
    <definedName name="solver_tol" localSheetId="5" hidden="1">0.01</definedName>
    <definedName name="solver_tol" localSheetId="8" hidden="1">0.01</definedName>
    <definedName name="solver_tol" localSheetId="4" hidden="1">0.01</definedName>
    <definedName name="solver_typ" localSheetId="6" hidden="1">2</definedName>
    <definedName name="solver_typ" localSheetId="5" hidden="1">2</definedName>
    <definedName name="solver_typ" localSheetId="8" hidden="1">1</definedName>
    <definedName name="solver_typ" localSheetId="4" hidden="1">2</definedName>
    <definedName name="solver_val" localSheetId="6" hidden="1">0</definedName>
    <definedName name="solver_val" localSheetId="5" hidden="1">0</definedName>
    <definedName name="solver_val" localSheetId="8" hidden="1">0</definedName>
    <definedName name="solver_val" localSheetId="4" hidden="1">0</definedName>
    <definedName name="solver_ver" localSheetId="6" hidden="1">3</definedName>
    <definedName name="solver_ver" localSheetId="5" hidden="1">3</definedName>
    <definedName name="solver_ver" localSheetId="8" hidden="1">3</definedName>
    <definedName name="solver_ver" localSheetId="4" hidden="1">3</definedName>
  </definedNames>
  <calcPr calcId="152511"/>
</workbook>
</file>

<file path=xl/calcChain.xml><?xml version="1.0" encoding="utf-8"?>
<calcChain xmlns="http://schemas.openxmlformats.org/spreadsheetml/2006/main">
  <c r="L7" i="15" l="1"/>
  <c r="D18" i="18"/>
  <c r="E18" i="18"/>
  <c r="F18" i="18"/>
  <c r="G18" i="18"/>
  <c r="H18" i="18"/>
  <c r="I18" i="18"/>
  <c r="J18" i="18"/>
  <c r="C18" i="18"/>
  <c r="D20" i="18"/>
  <c r="E20" i="18"/>
  <c r="F20" i="18"/>
  <c r="G20" i="18"/>
  <c r="H20" i="18"/>
  <c r="I20" i="18"/>
  <c r="J20" i="18"/>
  <c r="C20" i="18"/>
  <c r="G14" i="15"/>
  <c r="G13" i="15"/>
  <c r="G12" i="15"/>
  <c r="H12" i="15" s="1"/>
  <c r="G11" i="15"/>
  <c r="G10" i="15"/>
  <c r="G9" i="15"/>
  <c r="F11" i="15"/>
  <c r="H11" i="15"/>
  <c r="L11" i="15" s="1"/>
  <c r="F13" i="15"/>
  <c r="H13" i="15"/>
  <c r="L13" i="15" s="1"/>
  <c r="F10" i="15"/>
  <c r="H10" i="15"/>
  <c r="L10" i="15" s="1"/>
  <c r="F8" i="15"/>
  <c r="H8" i="15"/>
  <c r="O3" i="11"/>
  <c r="C22" i="18"/>
  <c r="AN4" i="17"/>
  <c r="AN3" i="17"/>
  <c r="N8" i="15"/>
  <c r="O8" i="15" s="1"/>
  <c r="N9" i="15"/>
  <c r="N10" i="15"/>
  <c r="N11" i="15"/>
  <c r="N12" i="15"/>
  <c r="N13" i="15"/>
  <c r="O13" i="15" s="1"/>
  <c r="P13" i="15" s="1"/>
  <c r="N14" i="15"/>
  <c r="G7" i="15"/>
  <c r="F14" i="15"/>
  <c r="H14" i="15"/>
  <c r="L14" i="15" s="1"/>
  <c r="F12" i="15"/>
  <c r="J15" i="15"/>
  <c r="K8" i="15"/>
  <c r="L8" i="15" s="1"/>
  <c r="K9" i="15"/>
  <c r="K10" i="15"/>
  <c r="K11" i="15"/>
  <c r="K12" i="15"/>
  <c r="L12" i="15" s="1"/>
  <c r="K13" i="15"/>
  <c r="K14" i="15"/>
  <c r="K7" i="15"/>
  <c r="F9" i="15"/>
  <c r="H9" i="15" s="1"/>
  <c r="L9" i="15" s="1"/>
  <c r="F7" i="15"/>
  <c r="H7" i="15"/>
  <c r="N7" i="15"/>
  <c r="O7" i="15" s="1"/>
  <c r="P7" i="15" s="1"/>
  <c r="F17" i="12"/>
  <c r="E17" i="12"/>
  <c r="D17" i="12"/>
  <c r="C17" i="12"/>
  <c r="G15" i="12"/>
  <c r="G14" i="12"/>
  <c r="G13" i="12"/>
  <c r="G12" i="12"/>
  <c r="F7" i="12"/>
  <c r="E7" i="12"/>
  <c r="D7" i="12"/>
  <c r="C7" i="12"/>
  <c r="L6" i="12"/>
  <c r="G6" i="12"/>
  <c r="L5" i="12"/>
  <c r="K6" i="12"/>
  <c r="G5" i="12"/>
  <c r="L4" i="12"/>
  <c r="G4" i="12"/>
  <c r="L3" i="12"/>
  <c r="J3" i="12"/>
  <c r="G3" i="12"/>
  <c r="E11" i="11"/>
  <c r="F11" i="11"/>
  <c r="G11" i="11"/>
  <c r="H11" i="11"/>
  <c r="I11" i="11"/>
  <c r="J11" i="11"/>
  <c r="K11" i="11"/>
  <c r="D11" i="11"/>
  <c r="L4" i="11"/>
  <c r="L5" i="11"/>
  <c r="L6" i="11"/>
  <c r="L7" i="11"/>
  <c r="L8" i="11"/>
  <c r="L9" i="11"/>
  <c r="L10" i="11"/>
  <c r="L3" i="11"/>
  <c r="K25" i="11"/>
  <c r="J25" i="11"/>
  <c r="I25" i="11"/>
  <c r="H25" i="11"/>
  <c r="G25" i="11"/>
  <c r="F25" i="11"/>
  <c r="E25" i="11"/>
  <c r="D25" i="11"/>
  <c r="L23" i="11"/>
  <c r="L22" i="11"/>
  <c r="L21" i="11"/>
  <c r="L20" i="11"/>
  <c r="L19" i="11"/>
  <c r="L18" i="11"/>
  <c r="L17" i="11"/>
  <c r="L16" i="11"/>
  <c r="P10" i="11"/>
  <c r="O10" i="11"/>
  <c r="P9" i="11"/>
  <c r="O9" i="11"/>
  <c r="P8" i="11"/>
  <c r="O8" i="11"/>
  <c r="P7" i="11"/>
  <c r="O7" i="11"/>
  <c r="P6" i="11"/>
  <c r="O6" i="11"/>
  <c r="P5" i="11"/>
  <c r="O5" i="11"/>
  <c r="P4" i="11"/>
  <c r="O4" i="11"/>
  <c r="O11" i="11" s="1"/>
  <c r="K4" i="12"/>
  <c r="J4" i="12"/>
  <c r="J6" i="12"/>
  <c r="J7" i="12" s="1"/>
  <c r="K5" i="12"/>
  <c r="J5" i="12"/>
  <c r="G19" i="15" l="1"/>
  <c r="O9" i="15"/>
  <c r="P9" i="15" s="1"/>
  <c r="O12" i="15"/>
  <c r="P12" i="15" s="1"/>
  <c r="P8" i="15"/>
  <c r="O11" i="15"/>
  <c r="P11" i="15" s="1"/>
  <c r="O14" i="15"/>
  <c r="P14" i="15" s="1"/>
  <c r="O10" i="15"/>
  <c r="P10" i="15" s="1"/>
  <c r="AG3" i="17"/>
  <c r="A3" i="17"/>
  <c r="N19" i="15"/>
  <c r="AG4" i="17" l="1"/>
  <c r="A4" i="17"/>
</calcChain>
</file>

<file path=xl/sharedStrings.xml><?xml version="1.0" encoding="utf-8"?>
<sst xmlns="http://schemas.openxmlformats.org/spreadsheetml/2006/main" count="347" uniqueCount="119">
  <si>
    <t>Team</t>
  </si>
  <si>
    <t>Home Venue</t>
  </si>
  <si>
    <t>City</t>
  </si>
  <si>
    <t>State</t>
  </si>
  <si>
    <t>Gujarat Lions</t>
  </si>
  <si>
    <t>Saurashtra Cricket Association Stadium</t>
  </si>
  <si>
    <t>Rajkot</t>
  </si>
  <si>
    <t>Gujarat</t>
  </si>
  <si>
    <t>Delhi Daredevils</t>
  </si>
  <si>
    <t>Feroz Shah Kotla Ground</t>
  </si>
  <si>
    <t>New Delhi</t>
  </si>
  <si>
    <t>Delhi</t>
  </si>
  <si>
    <t>Kings XI Punjab</t>
  </si>
  <si>
    <t>IS Bindra Stadium</t>
  </si>
  <si>
    <t>Mohali</t>
  </si>
  <si>
    <t>Punjab</t>
  </si>
  <si>
    <t>Kolkata Knight Riders</t>
  </si>
  <si>
    <t>Eden Gardens</t>
  </si>
  <si>
    <t>Kolkata</t>
  </si>
  <si>
    <t>West Bengal</t>
  </si>
  <si>
    <t>Mumbai Indians</t>
  </si>
  <si>
    <t>Wankhede Stadium</t>
  </si>
  <si>
    <t>Mumbai</t>
  </si>
  <si>
    <t>Maharashtra</t>
  </si>
  <si>
    <t>Rising Pune Supergiant</t>
  </si>
  <si>
    <t>Maharashtra Cricket Association's International Stadium</t>
  </si>
  <si>
    <t>Pune</t>
  </si>
  <si>
    <t>Royal Challengers Bangalore</t>
  </si>
  <si>
    <t>M. Chinnaswamy Stadium</t>
  </si>
  <si>
    <t>Bangalore</t>
  </si>
  <si>
    <t>Karnataka</t>
  </si>
  <si>
    <t>Sunrisers Hyderabad</t>
  </si>
  <si>
    <t>Rajiv Gandhi Intl. Cricket Stadium</t>
  </si>
  <si>
    <t>Hyderabad</t>
  </si>
  <si>
    <t>Telangana</t>
  </si>
  <si>
    <t>Venues and aerial distance in KMs</t>
  </si>
  <si>
    <t>Indore</t>
  </si>
  <si>
    <t>Kanpur</t>
  </si>
  <si>
    <t>Home</t>
  </si>
  <si>
    <t>Away</t>
  </si>
  <si>
    <t>Home City</t>
  </si>
  <si>
    <t>Day</t>
  </si>
  <si>
    <t>Date</t>
  </si>
  <si>
    <t xml:space="preserve">Sunrisers Hyderabad </t>
  </si>
  <si>
    <t xml:space="preserve">Royal Challengers Bangalore </t>
  </si>
  <si>
    <t>Mon</t>
  </si>
  <si>
    <t xml:space="preserve">Rising Pune Supergiant </t>
  </si>
  <si>
    <t xml:space="preserve">Gujarat Lions </t>
  </si>
  <si>
    <t xml:space="preserve">Kolkata Knight Riders </t>
  </si>
  <si>
    <t xml:space="preserve">Kings XI Punjab </t>
  </si>
  <si>
    <t>Tue</t>
  </si>
  <si>
    <t xml:space="preserve">Delhi Daredevils </t>
  </si>
  <si>
    <t>Bengaluru</t>
  </si>
  <si>
    <t>Wed</t>
  </si>
  <si>
    <t xml:space="preserve">Mumbai Indians </t>
  </si>
  <si>
    <t xml:space="preserve"> Mohali</t>
  </si>
  <si>
    <t>Thurs</t>
  </si>
  <si>
    <t>Fri</t>
  </si>
  <si>
    <t>Sat</t>
  </si>
  <si>
    <t>Sun</t>
  </si>
  <si>
    <t>Departure City</t>
  </si>
  <si>
    <t>Game City</t>
  </si>
  <si>
    <t xml:space="preserve">May </t>
  </si>
  <si>
    <t>=</t>
  </si>
  <si>
    <t>Total Matches</t>
  </si>
  <si>
    <t>Gave a start to solver, starting from Bangalore and visitng Pune first</t>
  </si>
  <si>
    <t>Start</t>
  </si>
  <si>
    <t>Date</t>
    <phoneticPr fontId="0" type="noConversion"/>
  </si>
  <si>
    <t>Home Team</t>
    <phoneticPr fontId="0" type="noConversion"/>
  </si>
  <si>
    <t>Away</t>
    <phoneticPr fontId="0" type="noConversion"/>
  </si>
  <si>
    <t>Random Number</t>
    <phoneticPr fontId="0" type="noConversion"/>
  </si>
  <si>
    <t>Win/Loss</t>
    <phoneticPr fontId="0" type="noConversion"/>
  </si>
  <si>
    <t xml:space="preserve">Home team Win % </t>
  </si>
  <si>
    <t>Total Home Team Win %</t>
  </si>
  <si>
    <t>Bet this game?</t>
  </si>
  <si>
    <t>Bet Amount</t>
  </si>
  <si>
    <t>Expected Winnings</t>
  </si>
  <si>
    <t>Payoff Ratio</t>
  </si>
  <si>
    <t>Riskiness</t>
  </si>
  <si>
    <t># of Games Head-To-Head (as of May 1 2017)</t>
  </si>
  <si>
    <t>Total Expected Winnings</t>
  </si>
  <si>
    <t>If a team has lost all it's last 5 matches, we give 0.1 weight</t>
  </si>
  <si>
    <t>Payoff Winnings</t>
  </si>
  <si>
    <t>Total Payoff Winnings</t>
  </si>
  <si>
    <t>GF1_rK0qDwEADwCyAAwjACYAPABHAFsAXABqAHgAjQCuAKgAKgD//wAAAAAAAQQAAAAACCIkIiMsIyMwAAAAAQVUb3RhbAEAAQEQAAIAAQpTdGF0aXN0aWNzAwEBAP8BAQEBAQABAQEABAAAAAEBAQEBAAEBAQAEAAAAAXwAAg0ABVRvdGFsAAAvAQACAAIAlQCeAAEBAgEAAAAAAIjDQAEzMzMzMzPvPwAABQABAQEAAQEBAA==</t>
  </si>
  <si>
    <t>&gt;75%</t>
  </si>
  <si>
    <t>&lt;25%</t>
  </si>
  <si>
    <t>&gt;90%</t>
  </si>
  <si>
    <t>GF1_rK0qDwEADwDRAAwjACYAOwBWAGoAawB5AIcArADNAMcAKgD//wAAAAAAAQQAAAAAB0dlbmVyYWwAAAABFVRvdGFsIFBheW9mZiBXaW5uaW5ncwEAAQEQAAIAAQpTdGF0aXN0aWNzAwEBAP8BAQEBAQABAQEABAAAAAEBAQEBAAEBAQAEAAAAAYsAAh0AFVRvdGFsIFBheW9mZiBXaW5uaW5ncwAALwEAAgACALQAvQABAQIBAAAAAAAAAAABZmZmZmZm7j8AAAUAAQEBAAEBAQA=</t>
  </si>
  <si>
    <t xml:space="preserve">Schedule 8 day plan by travelling in airplane at minimum cost to watch one IPL match at the home ground of the playing teams without visiting the same ground (same city) twice. </t>
  </si>
  <si>
    <t xml:space="preserve">Optimize the chance of winning the bet by allocating money on the team with the highest chances of winning and returning highest expected winnings. </t>
  </si>
  <si>
    <t>Using risk analysis, evaluate the riskiness of placing these bets.</t>
  </si>
  <si>
    <t>Business Objective</t>
  </si>
  <si>
    <t>Flight Prices</t>
  </si>
  <si>
    <t>Venues and flight prices in Rupees</t>
  </si>
  <si>
    <t>(As calculated on 2nd May for 2nd Aug (Estimating the prices Prior 3 months booking))</t>
  </si>
  <si>
    <t>IPL Schedule (1st to 8th May)</t>
  </si>
  <si>
    <t>Rowsum = Per day only one match can be viewed (Any team, no repeat)</t>
  </si>
  <si>
    <t>Colsum = Only one match (in the entire tour) per team can be viewed</t>
  </si>
  <si>
    <t>if team has a match on this date and is playing on home ground</t>
  </si>
  <si>
    <t>0 otherwise (even though the team has a match but is not playing on it's home ground)</t>
  </si>
  <si>
    <t>Cost</t>
  </si>
  <si>
    <t>Last 5 Win % (as of May 1 2017)</t>
  </si>
  <si>
    <t xml:space="preserve">Optimum path </t>
  </si>
  <si>
    <t>Cities</t>
  </si>
  <si>
    <t>Total Cost</t>
  </si>
  <si>
    <t>1st May</t>
  </si>
  <si>
    <t>2nd May</t>
  </si>
  <si>
    <t>3rd May</t>
  </si>
  <si>
    <t>4th May</t>
  </si>
  <si>
    <t>5th May</t>
  </si>
  <si>
    <t>6th May</t>
  </si>
  <si>
    <t>7th May</t>
  </si>
  <si>
    <t>8th May</t>
  </si>
  <si>
    <t>Date/City</t>
  </si>
  <si>
    <t>Gave a start to solver, starting from Bangalore</t>
  </si>
  <si>
    <t>IPL Teams and Home Ground</t>
  </si>
  <si>
    <t>Distances</t>
  </si>
  <si>
    <t>(=RiskOutput("Total Payoff Winnings")+SUM(P7:P14))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</si>
</sst>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theme="1"/>
      </right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textRotation="90"/>
    </xf>
    <xf numFmtId="0" fontId="0" fillId="2" borderId="11" xfId="0" applyFill="1" applyBorder="1" applyAlignment="1">
      <alignment horizontal="center" vertical="center" textRotation="90"/>
    </xf>
    <xf numFmtId="0" fontId="0" fillId="2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1" fillId="0" borderId="0" xfId="0" applyFont="1"/>
    <xf numFmtId="0" fontId="0" fillId="3" borderId="2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4" borderId="19" xfId="0" applyFill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4" xfId="0" applyNumberForma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3" fillId="8" borderId="36" xfId="0" applyFont="1" applyFill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16" fontId="0" fillId="0" borderId="37" xfId="0" applyNumberFormat="1" applyBorder="1" applyAlignment="1">
      <alignment horizontal="center"/>
    </xf>
    <xf numFmtId="0" fontId="0" fillId="0" borderId="38" xfId="0" applyBorder="1" applyAlignment="1">
      <alignment horizontal="center" vertical="center" wrapText="1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" fontId="1" fillId="0" borderId="17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6" fontId="1" fillId="0" borderId="22" xfId="0" applyNumberFormat="1" applyFont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1" fillId="0" borderId="0" xfId="0" applyFont="1" applyBorder="1" applyAlignment="1">
      <alignment horizontal="center" vertical="center" textRotation="90" wrapText="1"/>
    </xf>
    <xf numFmtId="0" fontId="1" fillId="9" borderId="18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16" fontId="1" fillId="9" borderId="19" xfId="0" applyNumberFormat="1" applyFont="1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1" fillId="9" borderId="21" xfId="0" applyFont="1" applyFill="1" applyBorder="1" applyAlignment="1">
      <alignment horizontal="center"/>
    </xf>
    <xf numFmtId="16" fontId="1" fillId="9" borderId="22" xfId="0" applyNumberFormat="1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16" fontId="1" fillId="9" borderId="17" xfId="0" applyNumberFormat="1" applyFont="1" applyFill="1" applyBorder="1" applyAlignment="1">
      <alignment horizontal="center"/>
    </xf>
    <xf numFmtId="0" fontId="1" fillId="9" borderId="3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4" fillId="0" borderId="21" xfId="0" applyFont="1" applyFill="1" applyBorder="1" applyAlignment="1">
      <alignment horizontal="center" vertical="center"/>
    </xf>
    <xf numFmtId="0" fontId="4" fillId="0" borderId="21" xfId="0" applyFont="1" applyBorder="1"/>
    <xf numFmtId="0" fontId="3" fillId="0" borderId="21" xfId="0" applyFont="1" applyFill="1" applyBorder="1" applyAlignment="1">
      <alignment horizontal="center" vertical="center"/>
    </xf>
    <xf numFmtId="0" fontId="3" fillId="0" borderId="21" xfId="0" applyFont="1" applyBorder="1"/>
    <xf numFmtId="0" fontId="0" fillId="6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5" borderId="39" xfId="0" applyNumberFormat="1" applyFont="1" applyFill="1" applyBorder="1" applyAlignment="1">
      <alignment horizontal="center"/>
    </xf>
    <xf numFmtId="0" fontId="1" fillId="5" borderId="40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IG%20DATA\ISB\Assignments\Term%202\Optimization\Project\Baseball\Baseball%20Stadium%20Roadtrip%20Schedule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ileage Chart"/>
      <sheetName val="June 1-14"/>
      <sheetName val="Games"/>
      <sheetName val="Teams"/>
      <sheetName val="Betting"/>
    </sheetNames>
    <sheetDataSet>
      <sheetData sheetId="0"/>
      <sheetData sheetId="1"/>
      <sheetData sheetId="2"/>
      <sheetData sheetId="3"/>
      <sheetData sheetId="4"/>
      <sheetData sheetId="5">
        <row r="20">
          <cell r="B20">
            <v>10000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tabSelected="1" workbookViewId="0">
      <selection activeCell="E9" sqref="E9"/>
    </sheetView>
  </sheetViews>
  <sheetFormatPr defaultRowHeight="15" x14ac:dyDescent="0.25"/>
  <sheetData>
    <row r="2" spans="1:5" ht="21.75" thickBot="1" x14ac:dyDescent="0.4">
      <c r="B2" s="121" t="s">
        <v>92</v>
      </c>
      <c r="C2" s="121"/>
      <c r="D2" s="121"/>
      <c r="E2" s="121"/>
    </row>
    <row r="4" spans="1:5" ht="15.75" x14ac:dyDescent="0.25">
      <c r="A4" s="1">
        <v>1</v>
      </c>
      <c r="B4" s="62" t="s">
        <v>89</v>
      </c>
    </row>
    <row r="5" spans="1:5" ht="15.75" x14ac:dyDescent="0.25">
      <c r="A5" s="1">
        <v>2</v>
      </c>
      <c r="B5" s="63" t="s">
        <v>90</v>
      </c>
    </row>
    <row r="6" spans="1:5" ht="15.75" x14ac:dyDescent="0.25">
      <c r="A6" s="1">
        <v>3</v>
      </c>
      <c r="B6" s="62" t="s">
        <v>91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workbookViewId="0">
      <selection activeCell="C9" sqref="C9"/>
    </sheetView>
  </sheetViews>
  <sheetFormatPr defaultRowHeight="15" x14ac:dyDescent="0.25"/>
  <cols>
    <col min="1" max="1" width="5.140625" customWidth="1"/>
    <col min="2" max="2" width="30.85546875" style="1" customWidth="1"/>
    <col min="3" max="3" width="54.7109375" style="1" bestFit="1" customWidth="1"/>
    <col min="4" max="4" width="11" style="1" bestFit="1" customWidth="1"/>
    <col min="5" max="5" width="12.85546875" style="1" bestFit="1" customWidth="1"/>
  </cols>
  <sheetData>
    <row r="1" spans="2:5" ht="19.5" thickBot="1" x14ac:dyDescent="0.35">
      <c r="B1" s="122" t="s">
        <v>116</v>
      </c>
      <c r="C1" s="122"/>
      <c r="D1" s="122"/>
      <c r="E1" s="122"/>
    </row>
    <row r="2" spans="2:5" ht="15.75" thickBot="1" x14ac:dyDescent="0.3"/>
    <row r="3" spans="2:5" ht="16.5" thickBot="1" x14ac:dyDescent="0.3">
      <c r="B3" s="64" t="s">
        <v>0</v>
      </c>
      <c r="C3" s="65" t="s">
        <v>1</v>
      </c>
      <c r="D3" s="65" t="s">
        <v>2</v>
      </c>
      <c r="E3" s="66" t="s">
        <v>3</v>
      </c>
    </row>
    <row r="4" spans="2:5" ht="15.75" x14ac:dyDescent="0.25">
      <c r="B4" s="67" t="s">
        <v>4</v>
      </c>
      <c r="C4" s="68" t="s">
        <v>5</v>
      </c>
      <c r="D4" s="68" t="s">
        <v>6</v>
      </c>
      <c r="E4" s="69" t="s">
        <v>7</v>
      </c>
    </row>
    <row r="5" spans="2:5" ht="15.75" x14ac:dyDescent="0.25">
      <c r="B5" s="70" t="s">
        <v>8</v>
      </c>
      <c r="C5" s="71" t="s">
        <v>9</v>
      </c>
      <c r="D5" s="71" t="s">
        <v>10</v>
      </c>
      <c r="E5" s="72" t="s">
        <v>11</v>
      </c>
    </row>
    <row r="6" spans="2:5" ht="15.75" x14ac:dyDescent="0.25">
      <c r="B6" s="70" t="s">
        <v>12</v>
      </c>
      <c r="C6" s="71" t="s">
        <v>13</v>
      </c>
      <c r="D6" s="71" t="s">
        <v>14</v>
      </c>
      <c r="E6" s="72" t="s">
        <v>15</v>
      </c>
    </row>
    <row r="7" spans="2:5" ht="15.75" x14ac:dyDescent="0.25">
      <c r="B7" s="70" t="s">
        <v>16</v>
      </c>
      <c r="C7" s="71" t="s">
        <v>17</v>
      </c>
      <c r="D7" s="71" t="s">
        <v>18</v>
      </c>
      <c r="E7" s="72" t="s">
        <v>19</v>
      </c>
    </row>
    <row r="8" spans="2:5" ht="15.75" x14ac:dyDescent="0.25">
      <c r="B8" s="70" t="s">
        <v>20</v>
      </c>
      <c r="C8" s="71" t="s">
        <v>21</v>
      </c>
      <c r="D8" s="71" t="s">
        <v>22</v>
      </c>
      <c r="E8" s="72" t="s">
        <v>23</v>
      </c>
    </row>
    <row r="9" spans="2:5" ht="15.75" x14ac:dyDescent="0.25">
      <c r="B9" s="70" t="s">
        <v>24</v>
      </c>
      <c r="C9" s="71" t="s">
        <v>25</v>
      </c>
      <c r="D9" s="71" t="s">
        <v>26</v>
      </c>
      <c r="E9" s="72" t="s">
        <v>23</v>
      </c>
    </row>
    <row r="10" spans="2:5" ht="15.75" x14ac:dyDescent="0.25">
      <c r="B10" s="70" t="s">
        <v>27</v>
      </c>
      <c r="C10" s="71" t="s">
        <v>28</v>
      </c>
      <c r="D10" s="71" t="s">
        <v>29</v>
      </c>
      <c r="E10" s="72" t="s">
        <v>30</v>
      </c>
    </row>
    <row r="11" spans="2:5" ht="16.5" thickBot="1" x14ac:dyDescent="0.3">
      <c r="B11" s="73" t="s">
        <v>31</v>
      </c>
      <c r="C11" s="74" t="s">
        <v>32</v>
      </c>
      <c r="D11" s="74" t="s">
        <v>33</v>
      </c>
      <c r="E11" s="75" t="s">
        <v>34</v>
      </c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workbookViewId="0">
      <selection activeCell="E16" sqref="E16"/>
    </sheetView>
  </sheetViews>
  <sheetFormatPr defaultRowHeight="15" x14ac:dyDescent="0.25"/>
  <cols>
    <col min="1" max="1" width="3.7109375" customWidth="1"/>
    <col min="2" max="2" width="15.28515625" customWidth="1"/>
    <col min="3" max="3" width="10.5703125" bestFit="1" customWidth="1"/>
  </cols>
  <sheetData>
    <row r="1" spans="2:12" ht="19.5" thickBot="1" x14ac:dyDescent="0.35">
      <c r="B1" s="122" t="s">
        <v>117</v>
      </c>
      <c r="C1" s="122"/>
    </row>
    <row r="2" spans="2:12" ht="15.75" thickBot="1" x14ac:dyDescent="0.3"/>
    <row r="3" spans="2:12" ht="60.75" thickBot="1" x14ac:dyDescent="0.3">
      <c r="B3" s="9" t="s">
        <v>35</v>
      </c>
      <c r="C3" s="10" t="s">
        <v>29</v>
      </c>
      <c r="D3" s="10" t="s">
        <v>11</v>
      </c>
      <c r="E3" s="10" t="s">
        <v>33</v>
      </c>
      <c r="F3" s="10" t="s">
        <v>36</v>
      </c>
      <c r="G3" s="10" t="s">
        <v>37</v>
      </c>
      <c r="H3" s="10" t="s">
        <v>18</v>
      </c>
      <c r="I3" s="10" t="s">
        <v>14</v>
      </c>
      <c r="J3" s="10" t="s">
        <v>22</v>
      </c>
      <c r="K3" s="10" t="s">
        <v>26</v>
      </c>
      <c r="L3" s="11" t="s">
        <v>6</v>
      </c>
    </row>
    <row r="4" spans="2:12" x14ac:dyDescent="0.25">
      <c r="B4" s="12" t="s">
        <v>29</v>
      </c>
      <c r="C4" s="13">
        <v>0</v>
      </c>
      <c r="D4" s="13">
        <v>1780</v>
      </c>
      <c r="E4" s="13">
        <v>565</v>
      </c>
      <c r="F4" s="13">
        <v>1127</v>
      </c>
      <c r="G4" s="13">
        <v>1582</v>
      </c>
      <c r="H4" s="13">
        <v>1594</v>
      </c>
      <c r="I4" s="13">
        <v>2003</v>
      </c>
      <c r="J4" s="13">
        <v>927</v>
      </c>
      <c r="K4" s="13">
        <v>778</v>
      </c>
      <c r="L4" s="14">
        <v>1325</v>
      </c>
    </row>
    <row r="5" spans="2:12" x14ac:dyDescent="0.25">
      <c r="B5" s="15" t="s">
        <v>11</v>
      </c>
      <c r="C5" s="16">
        <v>1780</v>
      </c>
      <c r="D5" s="16">
        <v>0</v>
      </c>
      <c r="E5" s="16">
        <v>1231</v>
      </c>
      <c r="F5" s="16">
        <v>421</v>
      </c>
      <c r="G5" s="16">
        <v>389</v>
      </c>
      <c r="H5" s="16">
        <v>1315</v>
      </c>
      <c r="I5" s="16">
        <v>225</v>
      </c>
      <c r="J5" s="16">
        <v>1089</v>
      </c>
      <c r="K5" s="16">
        <v>1160</v>
      </c>
      <c r="L5" s="17">
        <v>920</v>
      </c>
    </row>
    <row r="6" spans="2:12" x14ac:dyDescent="0.25">
      <c r="B6" s="15" t="s">
        <v>33</v>
      </c>
      <c r="C6" s="16">
        <v>565</v>
      </c>
      <c r="D6" s="16">
        <v>1231</v>
      </c>
      <c r="E6" s="16">
        <v>0</v>
      </c>
      <c r="F6" s="16">
        <v>620</v>
      </c>
      <c r="G6" s="16">
        <v>1018</v>
      </c>
      <c r="H6" s="16">
        <v>1174</v>
      </c>
      <c r="I6" s="16">
        <v>1456</v>
      </c>
      <c r="J6" s="16">
        <v>633</v>
      </c>
      <c r="K6" s="16">
        <v>503</v>
      </c>
      <c r="L6" s="17">
        <v>978</v>
      </c>
    </row>
    <row r="7" spans="2:12" x14ac:dyDescent="0.25">
      <c r="B7" s="15" t="s">
        <v>36</v>
      </c>
      <c r="C7" s="16">
        <v>1127</v>
      </c>
      <c r="D7" s="16">
        <v>421</v>
      </c>
      <c r="E7" s="16">
        <v>620</v>
      </c>
      <c r="F7" s="16">
        <v>0</v>
      </c>
      <c r="G7" s="16">
        <v>635</v>
      </c>
      <c r="H7" s="16">
        <v>1289</v>
      </c>
      <c r="I7" s="16">
        <v>893</v>
      </c>
      <c r="J7" s="16">
        <v>455</v>
      </c>
      <c r="K7" s="16">
        <v>491</v>
      </c>
      <c r="L7" s="17">
        <v>521</v>
      </c>
    </row>
    <row r="8" spans="2:12" x14ac:dyDescent="0.25">
      <c r="B8" s="15" t="s">
        <v>37</v>
      </c>
      <c r="C8" s="16">
        <v>1582</v>
      </c>
      <c r="D8" s="16">
        <v>389</v>
      </c>
      <c r="E8" s="16">
        <v>1018</v>
      </c>
      <c r="F8" s="16">
        <v>635</v>
      </c>
      <c r="G8" s="16">
        <v>0</v>
      </c>
      <c r="H8" s="16">
        <v>928</v>
      </c>
      <c r="I8" s="16">
        <v>568</v>
      </c>
      <c r="J8" s="16">
        <v>1091</v>
      </c>
      <c r="K8" s="16">
        <v>1111</v>
      </c>
      <c r="L8" s="17">
        <v>1064</v>
      </c>
    </row>
    <row r="9" spans="2:12" x14ac:dyDescent="0.25">
      <c r="B9" s="15" t="s">
        <v>18</v>
      </c>
      <c r="C9" s="16">
        <v>1594</v>
      </c>
      <c r="D9" s="16">
        <v>1315</v>
      </c>
      <c r="E9" s="16">
        <v>1174</v>
      </c>
      <c r="F9" s="16">
        <v>1289</v>
      </c>
      <c r="G9" s="16">
        <v>928</v>
      </c>
      <c r="H9" s="16">
        <v>0</v>
      </c>
      <c r="I9" s="16">
        <v>1463</v>
      </c>
      <c r="J9" s="16">
        <v>1646</v>
      </c>
      <c r="K9" s="16">
        <v>1578</v>
      </c>
      <c r="L9" s="17">
        <v>1809</v>
      </c>
    </row>
    <row r="10" spans="2:12" x14ac:dyDescent="0.25">
      <c r="B10" s="15" t="s">
        <v>14</v>
      </c>
      <c r="C10" s="16">
        <v>2003</v>
      </c>
      <c r="D10" s="16">
        <v>225</v>
      </c>
      <c r="E10" s="16">
        <v>1456</v>
      </c>
      <c r="F10" s="16">
        <v>893</v>
      </c>
      <c r="G10" s="16">
        <v>568</v>
      </c>
      <c r="H10" s="16">
        <v>1463</v>
      </c>
      <c r="I10" s="16">
        <v>0</v>
      </c>
      <c r="J10" s="16">
        <v>1283</v>
      </c>
      <c r="K10" s="16">
        <v>1365</v>
      </c>
      <c r="L10" s="17">
        <v>1067</v>
      </c>
    </row>
    <row r="11" spans="2:12" x14ac:dyDescent="0.25">
      <c r="B11" s="15" t="s">
        <v>22</v>
      </c>
      <c r="C11" s="16">
        <v>927</v>
      </c>
      <c r="D11" s="16">
        <v>1089</v>
      </c>
      <c r="E11" s="16">
        <v>633</v>
      </c>
      <c r="F11" s="16">
        <v>455</v>
      </c>
      <c r="G11" s="16">
        <v>1091</v>
      </c>
      <c r="H11" s="16">
        <v>1646</v>
      </c>
      <c r="I11" s="16">
        <v>1283</v>
      </c>
      <c r="J11" s="16">
        <v>0</v>
      </c>
      <c r="K11" s="16">
        <v>151</v>
      </c>
      <c r="L11" s="17">
        <v>397</v>
      </c>
    </row>
    <row r="12" spans="2:12" x14ac:dyDescent="0.25">
      <c r="B12" s="15" t="s">
        <v>26</v>
      </c>
      <c r="C12" s="16">
        <v>778</v>
      </c>
      <c r="D12" s="16">
        <v>1160</v>
      </c>
      <c r="E12" s="16">
        <v>503</v>
      </c>
      <c r="F12" s="16">
        <v>491</v>
      </c>
      <c r="G12" s="16">
        <v>1111</v>
      </c>
      <c r="H12" s="16">
        <v>1578</v>
      </c>
      <c r="I12" s="16">
        <v>1365</v>
      </c>
      <c r="J12" s="16">
        <v>151</v>
      </c>
      <c r="K12" s="16">
        <v>0</v>
      </c>
      <c r="L12" s="17">
        <v>547</v>
      </c>
    </row>
    <row r="13" spans="2:12" ht="15.75" thickBot="1" x14ac:dyDescent="0.3">
      <c r="B13" s="18" t="s">
        <v>6</v>
      </c>
      <c r="C13" s="19">
        <v>1325</v>
      </c>
      <c r="D13" s="19">
        <v>920</v>
      </c>
      <c r="E13" s="19">
        <v>978</v>
      </c>
      <c r="F13" s="19">
        <v>521</v>
      </c>
      <c r="G13" s="19">
        <v>1064</v>
      </c>
      <c r="H13" s="19">
        <v>1809</v>
      </c>
      <c r="I13" s="19">
        <v>1067</v>
      </c>
      <c r="J13" s="19">
        <v>397</v>
      </c>
      <c r="K13" s="19">
        <v>547</v>
      </c>
      <c r="L13" s="20">
        <v>0</v>
      </c>
    </row>
    <row r="16" spans="2:12" ht="19.5" thickBot="1" x14ac:dyDescent="0.35">
      <c r="B16" s="115" t="s">
        <v>93</v>
      </c>
      <c r="C16" s="116" t="s">
        <v>95</v>
      </c>
    </row>
    <row r="17" spans="2:10" ht="15.75" thickBot="1" x14ac:dyDescent="0.3"/>
    <row r="18" spans="2:10" ht="56.25" thickBot="1" x14ac:dyDescent="0.3">
      <c r="B18" s="9" t="s">
        <v>94</v>
      </c>
      <c r="C18" s="10" t="s">
        <v>29</v>
      </c>
      <c r="D18" s="10" t="s">
        <v>11</v>
      </c>
      <c r="E18" s="10" t="s">
        <v>33</v>
      </c>
      <c r="F18" s="10" t="s">
        <v>18</v>
      </c>
      <c r="G18" s="10" t="s">
        <v>14</v>
      </c>
      <c r="H18" s="10" t="s">
        <v>22</v>
      </c>
      <c r="I18" s="10" t="s">
        <v>26</v>
      </c>
      <c r="J18" s="11" t="s">
        <v>6</v>
      </c>
    </row>
    <row r="19" spans="2:10" x14ac:dyDescent="0.25">
      <c r="B19" s="12" t="s">
        <v>29</v>
      </c>
      <c r="C19" s="13">
        <v>0</v>
      </c>
      <c r="D19" s="13">
        <v>3165</v>
      </c>
      <c r="E19" s="13">
        <v>1350</v>
      </c>
      <c r="F19" s="13">
        <v>3082</v>
      </c>
      <c r="G19" s="13">
        <v>3999</v>
      </c>
      <c r="H19" s="13">
        <v>1960</v>
      </c>
      <c r="I19" s="13">
        <v>2149</v>
      </c>
      <c r="J19" s="14">
        <v>8829</v>
      </c>
    </row>
    <row r="20" spans="2:10" x14ac:dyDescent="0.25">
      <c r="B20" s="15" t="s">
        <v>11</v>
      </c>
      <c r="C20" s="16">
        <v>3687</v>
      </c>
      <c r="D20" s="16">
        <v>0</v>
      </c>
      <c r="E20" s="16">
        <v>2816</v>
      </c>
      <c r="F20" s="16">
        <v>2735</v>
      </c>
      <c r="G20" s="16">
        <v>1499</v>
      </c>
      <c r="H20" s="16">
        <v>2298</v>
      </c>
      <c r="I20" s="16">
        <v>3066</v>
      </c>
      <c r="J20" s="17">
        <v>9289</v>
      </c>
    </row>
    <row r="21" spans="2:10" x14ac:dyDescent="0.25">
      <c r="B21" s="15" t="s">
        <v>33</v>
      </c>
      <c r="C21" s="16">
        <v>1351</v>
      </c>
      <c r="D21" s="16">
        <v>3223</v>
      </c>
      <c r="E21" s="16">
        <v>0</v>
      </c>
      <c r="F21" s="16">
        <v>3077</v>
      </c>
      <c r="G21" s="16">
        <v>5257</v>
      </c>
      <c r="H21" s="16">
        <v>1652</v>
      </c>
      <c r="I21" s="16">
        <v>2183</v>
      </c>
      <c r="J21" s="17">
        <v>8546</v>
      </c>
    </row>
    <row r="22" spans="2:10" x14ac:dyDescent="0.25">
      <c r="B22" s="15" t="s">
        <v>18</v>
      </c>
      <c r="C22" s="16">
        <v>3246</v>
      </c>
      <c r="D22" s="16">
        <v>3165</v>
      </c>
      <c r="E22" s="16">
        <v>2542</v>
      </c>
      <c r="F22" s="16">
        <v>0</v>
      </c>
      <c r="G22" s="16">
        <v>3965</v>
      </c>
      <c r="H22" s="16">
        <v>4137</v>
      </c>
      <c r="I22" s="16">
        <v>4436</v>
      </c>
      <c r="J22" s="17">
        <v>10576</v>
      </c>
    </row>
    <row r="23" spans="2:10" x14ac:dyDescent="0.25">
      <c r="B23" s="15" t="s">
        <v>14</v>
      </c>
      <c r="C23" s="16">
        <v>4844</v>
      </c>
      <c r="D23" s="16">
        <v>2097</v>
      </c>
      <c r="E23" s="16">
        <v>4882</v>
      </c>
      <c r="F23" s="16">
        <v>5068</v>
      </c>
      <c r="G23" s="16">
        <v>0</v>
      </c>
      <c r="H23" s="16">
        <v>3687</v>
      </c>
      <c r="I23" s="16">
        <v>5082</v>
      </c>
      <c r="J23" s="17">
        <v>5103</v>
      </c>
    </row>
    <row r="24" spans="2:10" x14ac:dyDescent="0.25">
      <c r="B24" s="15" t="s">
        <v>22</v>
      </c>
      <c r="C24" s="16">
        <v>2111</v>
      </c>
      <c r="D24" s="16">
        <v>2655</v>
      </c>
      <c r="E24" s="16">
        <v>1987</v>
      </c>
      <c r="F24" s="16">
        <v>3914</v>
      </c>
      <c r="G24" s="16">
        <v>3835</v>
      </c>
      <c r="H24" s="16">
        <v>0</v>
      </c>
      <c r="I24" s="16">
        <v>9287</v>
      </c>
      <c r="J24" s="17">
        <v>6727</v>
      </c>
    </row>
    <row r="25" spans="2:10" x14ac:dyDescent="0.25">
      <c r="B25" s="15" t="s">
        <v>26</v>
      </c>
      <c r="C25" s="16">
        <v>2066</v>
      </c>
      <c r="D25" s="16">
        <v>2737</v>
      </c>
      <c r="E25" s="16">
        <v>1643</v>
      </c>
      <c r="F25" s="16">
        <v>3107</v>
      </c>
      <c r="G25" s="16">
        <v>3537</v>
      </c>
      <c r="H25" s="16">
        <v>3981</v>
      </c>
      <c r="I25" s="16">
        <v>0</v>
      </c>
      <c r="J25" s="17">
        <v>5189</v>
      </c>
    </row>
    <row r="26" spans="2:10" ht="15.75" thickBot="1" x14ac:dyDescent="0.3">
      <c r="B26" s="18" t="s">
        <v>6</v>
      </c>
      <c r="C26" s="19">
        <v>10263</v>
      </c>
      <c r="D26" s="19">
        <v>8998</v>
      </c>
      <c r="E26" s="19">
        <v>8073</v>
      </c>
      <c r="F26" s="19">
        <v>13784</v>
      </c>
      <c r="G26" s="19">
        <v>15983</v>
      </c>
      <c r="H26" s="19">
        <v>6374</v>
      </c>
      <c r="I26" s="19">
        <v>16258</v>
      </c>
      <c r="J26" s="20">
        <v>0</v>
      </c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zoomScale="90" zoomScaleNormal="90" workbookViewId="0">
      <selection activeCell="B1" sqref="B1:F1"/>
    </sheetView>
  </sheetViews>
  <sheetFormatPr defaultRowHeight="15" x14ac:dyDescent="0.25"/>
  <cols>
    <col min="1" max="1" width="4.42578125" customWidth="1"/>
    <col min="2" max="2" width="34.42578125" style="1" customWidth="1"/>
    <col min="3" max="3" width="27" style="1" bestFit="1" customWidth="1"/>
    <col min="4" max="4" width="10.5703125" style="1" bestFit="1" customWidth="1"/>
    <col min="5" max="6" width="9.140625" style="1"/>
  </cols>
  <sheetData>
    <row r="1" spans="2:6" ht="21.75" thickBot="1" x14ac:dyDescent="0.4">
      <c r="B1" s="121" t="s">
        <v>96</v>
      </c>
      <c r="C1" s="121"/>
      <c r="D1" s="121"/>
      <c r="E1" s="121"/>
      <c r="F1" s="121"/>
    </row>
    <row r="3" spans="2:6" ht="15.75" thickBot="1" x14ac:dyDescent="0.3">
      <c r="B3" s="21" t="s">
        <v>38</v>
      </c>
      <c r="C3" s="21" t="s">
        <v>39</v>
      </c>
      <c r="D3" s="21" t="s">
        <v>40</v>
      </c>
      <c r="E3" s="21" t="s">
        <v>41</v>
      </c>
      <c r="F3" s="21" t="s">
        <v>42</v>
      </c>
    </row>
    <row r="4" spans="2:6" x14ac:dyDescent="0.25">
      <c r="B4" s="84" t="s">
        <v>43</v>
      </c>
      <c r="C4" s="85" t="s">
        <v>44</v>
      </c>
      <c r="D4" s="85" t="s">
        <v>33</v>
      </c>
      <c r="E4" s="85" t="s">
        <v>45</v>
      </c>
      <c r="F4" s="86">
        <v>42856</v>
      </c>
    </row>
    <row r="5" spans="2:6" x14ac:dyDescent="0.25">
      <c r="B5" s="104" t="s">
        <v>46</v>
      </c>
      <c r="C5" s="105" t="s">
        <v>20</v>
      </c>
      <c r="D5" s="105" t="s">
        <v>26</v>
      </c>
      <c r="E5" s="105" t="s">
        <v>45</v>
      </c>
      <c r="F5" s="106">
        <v>42856</v>
      </c>
    </row>
    <row r="6" spans="2:6" ht="15.75" thickBot="1" x14ac:dyDescent="0.3">
      <c r="B6" s="90" t="s">
        <v>47</v>
      </c>
      <c r="C6" s="78" t="s">
        <v>48</v>
      </c>
      <c r="D6" s="78" t="s">
        <v>6</v>
      </c>
      <c r="E6" s="78" t="s">
        <v>45</v>
      </c>
      <c r="F6" s="91">
        <v>42856</v>
      </c>
    </row>
    <row r="7" spans="2:6" x14ac:dyDescent="0.25">
      <c r="B7" s="84" t="s">
        <v>49</v>
      </c>
      <c r="C7" s="85" t="s">
        <v>46</v>
      </c>
      <c r="D7" s="92" t="s">
        <v>14</v>
      </c>
      <c r="E7" s="85" t="s">
        <v>50</v>
      </c>
      <c r="F7" s="86">
        <v>42857</v>
      </c>
    </row>
    <row r="8" spans="2:6" ht="15.75" thickBot="1" x14ac:dyDescent="0.3">
      <c r="B8" s="107" t="s">
        <v>44</v>
      </c>
      <c r="C8" s="108" t="s">
        <v>51</v>
      </c>
      <c r="D8" s="108" t="s">
        <v>52</v>
      </c>
      <c r="E8" s="108" t="s">
        <v>50</v>
      </c>
      <c r="F8" s="109">
        <v>42857</v>
      </c>
    </row>
    <row r="9" spans="2:6" x14ac:dyDescent="0.25">
      <c r="B9" s="110" t="s">
        <v>43</v>
      </c>
      <c r="C9" s="111" t="s">
        <v>47</v>
      </c>
      <c r="D9" s="111" t="s">
        <v>33</v>
      </c>
      <c r="E9" s="111" t="s">
        <v>53</v>
      </c>
      <c r="F9" s="112">
        <v>42858</v>
      </c>
    </row>
    <row r="10" spans="2:6" ht="15.75" thickBot="1" x14ac:dyDescent="0.3">
      <c r="B10" s="90" t="s">
        <v>54</v>
      </c>
      <c r="C10" s="78" t="s">
        <v>48</v>
      </c>
      <c r="D10" s="78" t="s">
        <v>22</v>
      </c>
      <c r="E10" s="78" t="s">
        <v>53</v>
      </c>
      <c r="F10" s="91">
        <v>42858</v>
      </c>
    </row>
    <row r="11" spans="2:6" x14ac:dyDescent="0.25">
      <c r="B11" s="110" t="s">
        <v>49</v>
      </c>
      <c r="C11" s="111" t="s">
        <v>27</v>
      </c>
      <c r="D11" s="113" t="s">
        <v>55</v>
      </c>
      <c r="E11" s="111" t="s">
        <v>56</v>
      </c>
      <c r="F11" s="112">
        <v>42859</v>
      </c>
    </row>
    <row r="12" spans="2:6" x14ac:dyDescent="0.25">
      <c r="B12" s="87" t="s">
        <v>46</v>
      </c>
      <c r="C12" s="88" t="s">
        <v>51</v>
      </c>
      <c r="D12" s="88" t="s">
        <v>26</v>
      </c>
      <c r="E12" s="88" t="s">
        <v>56</v>
      </c>
      <c r="F12" s="89">
        <v>42859</v>
      </c>
    </row>
    <row r="13" spans="2:6" x14ac:dyDescent="0.25">
      <c r="B13" s="87" t="s">
        <v>54</v>
      </c>
      <c r="C13" s="88" t="s">
        <v>43</v>
      </c>
      <c r="D13" s="88" t="s">
        <v>22</v>
      </c>
      <c r="E13" s="88" t="s">
        <v>56</v>
      </c>
      <c r="F13" s="89">
        <v>42859</v>
      </c>
    </row>
    <row r="14" spans="2:6" ht="15.75" thickBot="1" x14ac:dyDescent="0.3">
      <c r="B14" s="90" t="s">
        <v>48</v>
      </c>
      <c r="C14" s="78" t="s">
        <v>49</v>
      </c>
      <c r="D14" s="78" t="s">
        <v>18</v>
      </c>
      <c r="E14" s="78" t="s">
        <v>56</v>
      </c>
      <c r="F14" s="91">
        <v>42859</v>
      </c>
    </row>
    <row r="15" spans="2:6" x14ac:dyDescent="0.25">
      <c r="B15" s="84" t="s">
        <v>44</v>
      </c>
      <c r="C15" s="85" t="s">
        <v>54</v>
      </c>
      <c r="D15" s="85" t="s">
        <v>52</v>
      </c>
      <c r="E15" s="85" t="s">
        <v>57</v>
      </c>
      <c r="F15" s="86">
        <v>42860</v>
      </c>
    </row>
    <row r="16" spans="2:6" ht="15.75" thickBot="1" x14ac:dyDescent="0.3">
      <c r="B16" s="107" t="s">
        <v>47</v>
      </c>
      <c r="C16" s="108" t="s">
        <v>46</v>
      </c>
      <c r="D16" s="108" t="s">
        <v>6</v>
      </c>
      <c r="E16" s="108" t="s">
        <v>57</v>
      </c>
      <c r="F16" s="109">
        <v>42860</v>
      </c>
    </row>
    <row r="17" spans="2:6" x14ac:dyDescent="0.25">
      <c r="B17" s="110" t="s">
        <v>48</v>
      </c>
      <c r="C17" s="111" t="s">
        <v>43</v>
      </c>
      <c r="D17" s="111" t="s">
        <v>18</v>
      </c>
      <c r="E17" s="111" t="s">
        <v>58</v>
      </c>
      <c r="F17" s="112">
        <v>42861</v>
      </c>
    </row>
    <row r="18" spans="2:6" ht="15.75" thickBot="1" x14ac:dyDescent="0.3">
      <c r="B18" s="90" t="s">
        <v>51</v>
      </c>
      <c r="C18" s="78" t="s">
        <v>49</v>
      </c>
      <c r="D18" s="78" t="s">
        <v>11</v>
      </c>
      <c r="E18" s="78" t="s">
        <v>58</v>
      </c>
      <c r="F18" s="91">
        <v>42861</v>
      </c>
    </row>
    <row r="19" spans="2:6" x14ac:dyDescent="0.25">
      <c r="B19" s="110" t="s">
        <v>54</v>
      </c>
      <c r="C19" s="111" t="s">
        <v>47</v>
      </c>
      <c r="D19" s="111" t="s">
        <v>22</v>
      </c>
      <c r="E19" s="111" t="s">
        <v>59</v>
      </c>
      <c r="F19" s="112">
        <v>42862</v>
      </c>
    </row>
    <row r="20" spans="2:6" ht="15.75" thickBot="1" x14ac:dyDescent="0.3">
      <c r="B20" s="90" t="s">
        <v>44</v>
      </c>
      <c r="C20" s="78" t="s">
        <v>46</v>
      </c>
      <c r="D20" s="78" t="s">
        <v>52</v>
      </c>
      <c r="E20" s="78" t="s">
        <v>59</v>
      </c>
      <c r="F20" s="91">
        <v>42862</v>
      </c>
    </row>
    <row r="21" spans="2:6" x14ac:dyDescent="0.25">
      <c r="B21" s="110" t="s">
        <v>51</v>
      </c>
      <c r="C21" s="111" t="s">
        <v>48</v>
      </c>
      <c r="D21" s="111" t="s">
        <v>11</v>
      </c>
      <c r="E21" s="111" t="s">
        <v>45</v>
      </c>
      <c r="F21" s="112">
        <v>42863</v>
      </c>
    </row>
    <row r="22" spans="2:6" ht="15.75" thickBot="1" x14ac:dyDescent="0.3">
      <c r="B22" s="90" t="s">
        <v>43</v>
      </c>
      <c r="C22" s="78" t="s">
        <v>49</v>
      </c>
      <c r="D22" s="78" t="s">
        <v>33</v>
      </c>
      <c r="E22" s="78" t="s">
        <v>45</v>
      </c>
      <c r="F22" s="91">
        <v>42863</v>
      </c>
    </row>
  </sheetData>
  <mergeCells count="1">
    <mergeCell ref="B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zoomScale="90" zoomScaleNormal="90" workbookViewId="0">
      <selection activeCell="Q5" sqref="Q5:Q12"/>
    </sheetView>
  </sheetViews>
  <sheetFormatPr defaultRowHeight="15" x14ac:dyDescent="0.25"/>
  <cols>
    <col min="2" max="2" width="14.42578125" bestFit="1" customWidth="1"/>
    <col min="3" max="3" width="10.85546875" customWidth="1"/>
    <col min="6" max="6" width="11.140625" customWidth="1"/>
    <col min="11" max="11" width="2.5703125" customWidth="1"/>
    <col min="12" max="12" width="1.140625" customWidth="1"/>
    <col min="13" max="13" width="10.5703125" bestFit="1" customWidth="1"/>
  </cols>
  <sheetData>
    <row r="2" spans="2:14" ht="16.5" thickBot="1" x14ac:dyDescent="0.3">
      <c r="B2" s="117" t="s">
        <v>93</v>
      </c>
      <c r="C2" s="118" t="s">
        <v>95</v>
      </c>
    </row>
    <row r="3" spans="2:14" ht="15.75" thickBot="1" x14ac:dyDescent="0.3"/>
    <row r="4" spans="2:14" ht="45.75" thickBot="1" x14ac:dyDescent="0.3">
      <c r="B4" s="9" t="s">
        <v>94</v>
      </c>
      <c r="C4" s="93">
        <v>1</v>
      </c>
      <c r="D4" s="93">
        <v>2</v>
      </c>
      <c r="E4" s="93">
        <v>3</v>
      </c>
      <c r="F4" s="93">
        <v>4</v>
      </c>
      <c r="G4" s="93">
        <v>5</v>
      </c>
      <c r="H4" s="93">
        <v>6</v>
      </c>
      <c r="I4" s="93">
        <v>7</v>
      </c>
      <c r="J4" s="93">
        <v>8</v>
      </c>
    </row>
    <row r="5" spans="2:14" x14ac:dyDescent="0.25">
      <c r="B5" s="12">
        <v>1</v>
      </c>
      <c r="C5" s="13">
        <v>0</v>
      </c>
      <c r="D5" s="13">
        <v>3165</v>
      </c>
      <c r="E5" s="13">
        <v>1350</v>
      </c>
      <c r="F5" s="13">
        <v>3082</v>
      </c>
      <c r="G5" s="13">
        <v>3999</v>
      </c>
      <c r="H5" s="13">
        <v>1960</v>
      </c>
      <c r="I5" s="13">
        <v>2149</v>
      </c>
      <c r="J5" s="14">
        <v>8829</v>
      </c>
      <c r="M5" s="2" t="s">
        <v>29</v>
      </c>
      <c r="N5" s="3">
        <v>1</v>
      </c>
    </row>
    <row r="6" spans="2:14" x14ac:dyDescent="0.25">
      <c r="B6" s="15">
        <v>2</v>
      </c>
      <c r="C6" s="16">
        <v>3687</v>
      </c>
      <c r="D6" s="16">
        <v>0</v>
      </c>
      <c r="E6" s="16">
        <v>2816</v>
      </c>
      <c r="F6" s="16">
        <v>2735</v>
      </c>
      <c r="G6" s="16">
        <v>1499</v>
      </c>
      <c r="H6" s="16">
        <v>2298</v>
      </c>
      <c r="I6" s="16">
        <v>3066</v>
      </c>
      <c r="J6" s="17">
        <v>9289</v>
      </c>
      <c r="M6" s="4" t="s">
        <v>11</v>
      </c>
      <c r="N6" s="6">
        <v>2</v>
      </c>
    </row>
    <row r="7" spans="2:14" x14ac:dyDescent="0.25">
      <c r="B7" s="15">
        <v>3</v>
      </c>
      <c r="C7" s="16">
        <v>1351</v>
      </c>
      <c r="D7" s="16">
        <v>3223</v>
      </c>
      <c r="E7" s="16">
        <v>0</v>
      </c>
      <c r="F7" s="16">
        <v>3077</v>
      </c>
      <c r="G7" s="16">
        <v>5257</v>
      </c>
      <c r="H7" s="16">
        <v>1652</v>
      </c>
      <c r="I7" s="16">
        <v>2183</v>
      </c>
      <c r="J7" s="17">
        <v>8546</v>
      </c>
      <c r="M7" s="4" t="s">
        <v>33</v>
      </c>
      <c r="N7" s="6">
        <v>3</v>
      </c>
    </row>
    <row r="8" spans="2:14" x14ac:dyDescent="0.25">
      <c r="B8" s="15">
        <v>4</v>
      </c>
      <c r="C8" s="16">
        <v>3246</v>
      </c>
      <c r="D8" s="16">
        <v>3165</v>
      </c>
      <c r="E8" s="16">
        <v>2542</v>
      </c>
      <c r="F8" s="16">
        <v>0</v>
      </c>
      <c r="G8" s="16">
        <v>3965</v>
      </c>
      <c r="H8" s="16">
        <v>4137</v>
      </c>
      <c r="I8" s="16">
        <v>4436</v>
      </c>
      <c r="J8" s="17">
        <v>10576</v>
      </c>
      <c r="M8" s="4" t="s">
        <v>18</v>
      </c>
      <c r="N8" s="6">
        <v>4</v>
      </c>
    </row>
    <row r="9" spans="2:14" x14ac:dyDescent="0.25">
      <c r="B9" s="15">
        <v>5</v>
      </c>
      <c r="C9" s="16">
        <v>4844</v>
      </c>
      <c r="D9" s="16">
        <v>2097</v>
      </c>
      <c r="E9" s="16">
        <v>4882</v>
      </c>
      <c r="F9" s="16">
        <v>5068</v>
      </c>
      <c r="G9" s="16">
        <v>0</v>
      </c>
      <c r="H9" s="16">
        <v>3687</v>
      </c>
      <c r="I9" s="16">
        <v>5082</v>
      </c>
      <c r="J9" s="17">
        <v>5103</v>
      </c>
      <c r="M9" s="4" t="s">
        <v>14</v>
      </c>
      <c r="N9" s="6">
        <v>5</v>
      </c>
    </row>
    <row r="10" spans="2:14" x14ac:dyDescent="0.25">
      <c r="B10" s="15">
        <v>6</v>
      </c>
      <c r="C10" s="16">
        <v>2111</v>
      </c>
      <c r="D10" s="16">
        <v>2655</v>
      </c>
      <c r="E10" s="16">
        <v>1987</v>
      </c>
      <c r="F10" s="16">
        <v>3914</v>
      </c>
      <c r="G10" s="16">
        <v>3835</v>
      </c>
      <c r="H10" s="16">
        <v>0</v>
      </c>
      <c r="I10" s="16">
        <v>9287</v>
      </c>
      <c r="J10" s="17">
        <v>6727</v>
      </c>
      <c r="M10" s="4" t="s">
        <v>22</v>
      </c>
      <c r="N10" s="6">
        <v>6</v>
      </c>
    </row>
    <row r="11" spans="2:14" x14ac:dyDescent="0.25">
      <c r="B11" s="15">
        <v>7</v>
      </c>
      <c r="C11" s="16">
        <v>2066</v>
      </c>
      <c r="D11" s="16">
        <v>2737</v>
      </c>
      <c r="E11" s="16">
        <v>1643</v>
      </c>
      <c r="F11" s="16">
        <v>3107</v>
      </c>
      <c r="G11" s="16">
        <v>3537</v>
      </c>
      <c r="H11" s="16">
        <v>3981</v>
      </c>
      <c r="I11" s="16">
        <v>0</v>
      </c>
      <c r="J11" s="17">
        <v>5189</v>
      </c>
      <c r="M11" s="4" t="s">
        <v>26</v>
      </c>
      <c r="N11" s="6">
        <v>7</v>
      </c>
    </row>
    <row r="12" spans="2:14" ht="15.75" thickBot="1" x14ac:dyDescent="0.3">
      <c r="B12" s="18">
        <v>8</v>
      </c>
      <c r="C12" s="19">
        <v>10263</v>
      </c>
      <c r="D12" s="19">
        <v>8998</v>
      </c>
      <c r="E12" s="19">
        <v>8073</v>
      </c>
      <c r="F12" s="19">
        <v>13784</v>
      </c>
      <c r="G12" s="19">
        <v>15983</v>
      </c>
      <c r="H12" s="19">
        <v>6374</v>
      </c>
      <c r="I12" s="19">
        <v>16258</v>
      </c>
      <c r="J12" s="20">
        <v>0</v>
      </c>
      <c r="M12" s="7" t="s">
        <v>6</v>
      </c>
      <c r="N12" s="8">
        <v>8</v>
      </c>
    </row>
    <row r="15" spans="2:14" ht="15.75" thickBot="1" x14ac:dyDescent="0.3">
      <c r="B15" s="77" t="s">
        <v>103</v>
      </c>
    </row>
    <row r="16" spans="2:14" x14ac:dyDescent="0.25">
      <c r="B16" s="76"/>
    </row>
    <row r="17" spans="1:10" x14ac:dyDescent="0.25">
      <c r="A17" s="47" t="s">
        <v>41</v>
      </c>
      <c r="B17" s="47"/>
      <c r="C17" s="47" t="s">
        <v>106</v>
      </c>
      <c r="D17" s="47" t="s">
        <v>107</v>
      </c>
      <c r="E17" s="47" t="s">
        <v>108</v>
      </c>
      <c r="F17" s="47" t="s">
        <v>109</v>
      </c>
      <c r="G17" s="47" t="s">
        <v>110</v>
      </c>
      <c r="H17" s="47" t="s">
        <v>111</v>
      </c>
      <c r="I17" s="47" t="s">
        <v>112</v>
      </c>
      <c r="J17" s="47" t="s">
        <v>113</v>
      </c>
    </row>
    <row r="18" spans="1:10" x14ac:dyDescent="0.25">
      <c r="B18" s="47" t="s">
        <v>66</v>
      </c>
      <c r="C18" s="95" t="str">
        <f>INDEX($M$5:$M$12,MATCH(C19,$N$5:$N$12,0),)</f>
        <v>Bangalore</v>
      </c>
      <c r="D18" s="95" t="str">
        <f t="shared" ref="D18:J18" si="0">INDEX($M$5:$M$12,MATCH(D19,$N$5:$N$12,0),)</f>
        <v>Pune</v>
      </c>
      <c r="E18" s="95" t="str">
        <f t="shared" si="0"/>
        <v>Kolkata</v>
      </c>
      <c r="F18" s="95" t="str">
        <f t="shared" si="0"/>
        <v>Hyderabad</v>
      </c>
      <c r="G18" s="95" t="str">
        <f t="shared" si="0"/>
        <v>Mumbai</v>
      </c>
      <c r="H18" s="95" t="str">
        <f t="shared" si="0"/>
        <v>Delhi</v>
      </c>
      <c r="I18" s="95" t="str">
        <f t="shared" si="0"/>
        <v>Mohali</v>
      </c>
      <c r="J18" s="95" t="str">
        <f t="shared" si="0"/>
        <v>Rajkot</v>
      </c>
    </row>
    <row r="19" spans="1:10" x14ac:dyDescent="0.25">
      <c r="A19" s="47" t="s">
        <v>104</v>
      </c>
      <c r="B19" s="1">
        <v>1</v>
      </c>
      <c r="C19" s="60">
        <v>1</v>
      </c>
      <c r="D19" s="60">
        <v>7</v>
      </c>
      <c r="E19" s="60">
        <v>4</v>
      </c>
      <c r="F19" s="60">
        <v>3</v>
      </c>
      <c r="G19" s="60">
        <v>6</v>
      </c>
      <c r="H19" s="60">
        <v>2</v>
      </c>
      <c r="I19" s="60">
        <v>5</v>
      </c>
      <c r="J19" s="60">
        <v>8</v>
      </c>
    </row>
    <row r="20" spans="1:10" x14ac:dyDescent="0.25">
      <c r="A20" s="47" t="s">
        <v>101</v>
      </c>
      <c r="C20" s="1">
        <f>INDEX($C$5:$J$12,B19,C19)</f>
        <v>0</v>
      </c>
      <c r="D20" s="1">
        <f t="shared" ref="D20:J20" si="1">INDEX($C$5:$J$12,C19,D19)</f>
        <v>2149</v>
      </c>
      <c r="E20" s="1">
        <f t="shared" si="1"/>
        <v>3107</v>
      </c>
      <c r="F20" s="1">
        <f t="shared" si="1"/>
        <v>2542</v>
      </c>
      <c r="G20" s="1">
        <f t="shared" si="1"/>
        <v>1652</v>
      </c>
      <c r="H20" s="1">
        <f t="shared" si="1"/>
        <v>2655</v>
      </c>
      <c r="I20" s="1">
        <f t="shared" si="1"/>
        <v>1499</v>
      </c>
      <c r="J20" s="1">
        <f t="shared" si="1"/>
        <v>5103</v>
      </c>
    </row>
    <row r="22" spans="1:10" ht="15.75" x14ac:dyDescent="0.25">
      <c r="B22" s="94" t="s">
        <v>105</v>
      </c>
      <c r="C22" s="94">
        <f>SUM(C20:J20)</f>
        <v>18707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5"/>
  <sheetViews>
    <sheetView zoomScale="90" zoomScaleNormal="90" workbookViewId="0">
      <selection activeCell="O14" sqref="O14"/>
    </sheetView>
  </sheetViews>
  <sheetFormatPr defaultRowHeight="15" x14ac:dyDescent="0.25"/>
  <cols>
    <col min="1" max="1" width="2.7109375" customWidth="1"/>
    <col min="2" max="2" width="9.28515625" style="1" customWidth="1"/>
    <col min="3" max="3" width="7.28515625" style="1" customWidth="1"/>
    <col min="4" max="5" width="4.28515625" customWidth="1"/>
    <col min="6" max="7" width="4.140625" customWidth="1"/>
    <col min="8" max="9" width="3.85546875" customWidth="1"/>
    <col min="10" max="10" width="4.28515625" customWidth="1"/>
    <col min="11" max="11" width="5.28515625" customWidth="1"/>
    <col min="12" max="14" width="4.85546875" style="1" customWidth="1"/>
    <col min="15" max="15" width="12.7109375" style="1" customWidth="1"/>
    <col min="16" max="16" width="14.28515625" style="1" bestFit="1" customWidth="1"/>
    <col min="17" max="17" width="11.7109375" style="1" bestFit="1" customWidth="1"/>
    <col min="18" max="18" width="3" customWidth="1"/>
    <col min="19" max="19" width="27.85546875" bestFit="1" customWidth="1"/>
    <col min="20" max="20" width="15" customWidth="1"/>
    <col min="21" max="21" width="7.7109375" bestFit="1" customWidth="1"/>
  </cols>
  <sheetData>
    <row r="1" spans="2:21" x14ac:dyDescent="0.25">
      <c r="D1" s="23"/>
      <c r="E1" s="23"/>
      <c r="F1" s="23"/>
      <c r="G1" s="23"/>
      <c r="H1" s="23"/>
      <c r="I1" s="23"/>
      <c r="J1" s="23"/>
      <c r="K1" s="23"/>
    </row>
    <row r="2" spans="2:21" s="24" customFormat="1" ht="55.5" x14ac:dyDescent="0.25">
      <c r="B2" s="125" t="s">
        <v>114</v>
      </c>
      <c r="C2" s="125"/>
      <c r="D2" s="103" t="s">
        <v>6</v>
      </c>
      <c r="E2" s="103" t="s">
        <v>11</v>
      </c>
      <c r="F2" s="103" t="s">
        <v>14</v>
      </c>
      <c r="G2" s="103" t="s">
        <v>18</v>
      </c>
      <c r="H2" s="103" t="s">
        <v>22</v>
      </c>
      <c r="I2" s="103" t="s">
        <v>26</v>
      </c>
      <c r="J2" s="103" t="s">
        <v>29</v>
      </c>
      <c r="K2" s="103" t="s">
        <v>33</v>
      </c>
      <c r="O2" s="25" t="s">
        <v>101</v>
      </c>
      <c r="P2" s="25" t="s">
        <v>60</v>
      </c>
      <c r="Q2" s="25" t="s">
        <v>61</v>
      </c>
    </row>
    <row r="3" spans="2:21" ht="15.75" thickBot="1" x14ac:dyDescent="0.3">
      <c r="B3" s="21" t="s">
        <v>62</v>
      </c>
      <c r="C3" s="21">
        <v>1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1</v>
      </c>
      <c r="J3" s="27">
        <v>0</v>
      </c>
      <c r="K3" s="26">
        <v>0</v>
      </c>
      <c r="L3" s="1">
        <f>SUM(D3:K3)</f>
        <v>1</v>
      </c>
      <c r="M3" s="28" t="s">
        <v>63</v>
      </c>
      <c r="N3" s="1">
        <v>1</v>
      </c>
      <c r="O3" s="1">
        <f>INDEX(CostMatrix!$C$19:$L$26, MATCH(P3,CostMatrix!$B$19:$B$26,0), MATCH(Q3, CostMatrix!$C$18:$L$18, 0))</f>
        <v>2149</v>
      </c>
      <c r="P3" s="1" t="s">
        <v>29</v>
      </c>
      <c r="Q3" s="22" t="s">
        <v>26</v>
      </c>
      <c r="S3" s="29" t="s">
        <v>65</v>
      </c>
    </row>
    <row r="4" spans="2:21" x14ac:dyDescent="0.25">
      <c r="B4" s="21" t="s">
        <v>62</v>
      </c>
      <c r="C4" s="21">
        <v>2</v>
      </c>
      <c r="D4" s="96">
        <v>0</v>
      </c>
      <c r="E4" s="97">
        <v>0</v>
      </c>
      <c r="F4" s="97">
        <v>0</v>
      </c>
      <c r="G4" s="97">
        <v>0</v>
      </c>
      <c r="H4" s="97">
        <v>0</v>
      </c>
      <c r="I4" s="97">
        <v>0</v>
      </c>
      <c r="J4" s="97">
        <v>1</v>
      </c>
      <c r="K4" s="98">
        <v>0</v>
      </c>
      <c r="L4" s="1">
        <f t="shared" ref="L4:L10" si="0">SUM(D4:K4)</f>
        <v>1</v>
      </c>
      <c r="M4" s="28" t="s">
        <v>63</v>
      </c>
      <c r="N4" s="1">
        <v>1</v>
      </c>
      <c r="O4" s="1">
        <f>INDEX(CostMatrix!$C$19:$L$26, MATCH(P4,CostMatrix!$B$19:$B$26,0), MATCH(Q4, CostMatrix!$C$18:$L$18, 0))</f>
        <v>2066</v>
      </c>
      <c r="P4" s="1" t="str">
        <f t="shared" ref="P4:P10" si="1">Q3</f>
        <v>Pune</v>
      </c>
      <c r="Q4" s="22" t="s">
        <v>29</v>
      </c>
      <c r="S4" s="29"/>
    </row>
    <row r="5" spans="2:21" x14ac:dyDescent="0.25">
      <c r="B5" s="21" t="s">
        <v>62</v>
      </c>
      <c r="C5" s="21">
        <v>3</v>
      </c>
      <c r="D5" s="99">
        <v>0</v>
      </c>
      <c r="E5" s="79">
        <v>0</v>
      </c>
      <c r="F5" s="79">
        <v>0</v>
      </c>
      <c r="G5" s="79">
        <v>0</v>
      </c>
      <c r="H5" s="79">
        <v>0</v>
      </c>
      <c r="I5" s="79">
        <v>0</v>
      </c>
      <c r="J5" s="79">
        <v>0</v>
      </c>
      <c r="K5" s="49">
        <v>1</v>
      </c>
      <c r="L5" s="1">
        <f t="shared" si="0"/>
        <v>1</v>
      </c>
      <c r="M5" s="28" t="s">
        <v>63</v>
      </c>
      <c r="N5" s="1">
        <v>1</v>
      </c>
      <c r="O5" s="1">
        <f>INDEX(CostMatrix!$C$19:$L$26, MATCH(P5,CostMatrix!$B$19:$B$26,0), MATCH(Q5, CostMatrix!$C$18:$L$18, 0))</f>
        <v>1350</v>
      </c>
      <c r="P5" s="1" t="str">
        <f t="shared" si="1"/>
        <v>Bangalore</v>
      </c>
      <c r="Q5" s="22" t="s">
        <v>33</v>
      </c>
      <c r="S5" s="29" t="s">
        <v>97</v>
      </c>
    </row>
    <row r="6" spans="2:21" x14ac:dyDescent="0.25">
      <c r="B6" s="21" t="s">
        <v>62</v>
      </c>
      <c r="C6" s="21">
        <v>4</v>
      </c>
      <c r="D6" s="99">
        <v>0</v>
      </c>
      <c r="E6" s="79">
        <v>0</v>
      </c>
      <c r="F6" s="79">
        <v>1</v>
      </c>
      <c r="G6" s="79">
        <v>0</v>
      </c>
      <c r="H6" s="79">
        <v>0</v>
      </c>
      <c r="I6" s="79">
        <v>0</v>
      </c>
      <c r="J6" s="79">
        <v>0</v>
      </c>
      <c r="K6" s="49">
        <v>0</v>
      </c>
      <c r="L6" s="1">
        <f t="shared" si="0"/>
        <v>1</v>
      </c>
      <c r="M6" s="28" t="s">
        <v>63</v>
      </c>
      <c r="N6" s="1">
        <v>1</v>
      </c>
      <c r="O6" s="1">
        <f>INDEX(CostMatrix!$C$19:$L$26, MATCH(P6,CostMatrix!$B$19:$B$26,0), MATCH(Q6, CostMatrix!$C$18:$L$18, 0))</f>
        <v>5257</v>
      </c>
      <c r="P6" s="1" t="str">
        <f t="shared" si="1"/>
        <v>Hyderabad</v>
      </c>
      <c r="Q6" s="22" t="s">
        <v>14</v>
      </c>
      <c r="S6" s="29" t="s">
        <v>98</v>
      </c>
      <c r="T6" s="29"/>
      <c r="U6" s="29"/>
    </row>
    <row r="7" spans="2:21" x14ac:dyDescent="0.25">
      <c r="B7" s="21" t="s">
        <v>62</v>
      </c>
      <c r="C7" s="21">
        <v>5</v>
      </c>
      <c r="D7" s="99">
        <v>1</v>
      </c>
      <c r="E7" s="79">
        <v>0</v>
      </c>
      <c r="F7" s="79">
        <v>0</v>
      </c>
      <c r="G7" s="79">
        <v>0</v>
      </c>
      <c r="H7" s="79">
        <v>0</v>
      </c>
      <c r="I7" s="79">
        <v>0</v>
      </c>
      <c r="J7" s="79">
        <v>0</v>
      </c>
      <c r="K7" s="49">
        <v>0</v>
      </c>
      <c r="L7" s="1">
        <f t="shared" si="0"/>
        <v>1</v>
      </c>
      <c r="M7" s="28" t="s">
        <v>63</v>
      </c>
      <c r="N7" s="1">
        <v>1</v>
      </c>
      <c r="O7" s="1">
        <f>INDEX(CostMatrix!$C$19:$L$26, MATCH(P7,CostMatrix!$B$19:$B$26,0), MATCH(Q7, CostMatrix!$C$18:$L$18, 0))</f>
        <v>5103</v>
      </c>
      <c r="P7" s="1" t="str">
        <f t="shared" si="1"/>
        <v>Mohali</v>
      </c>
      <c r="Q7" s="22" t="s">
        <v>6</v>
      </c>
    </row>
    <row r="8" spans="2:21" x14ac:dyDescent="0.25">
      <c r="B8" s="21" t="s">
        <v>62</v>
      </c>
      <c r="C8" s="21">
        <v>6</v>
      </c>
      <c r="D8" s="99">
        <v>0</v>
      </c>
      <c r="E8" s="79">
        <v>0</v>
      </c>
      <c r="F8" s="79">
        <v>0</v>
      </c>
      <c r="G8" s="79">
        <v>1</v>
      </c>
      <c r="H8" s="79">
        <v>0</v>
      </c>
      <c r="I8" s="79">
        <v>0</v>
      </c>
      <c r="J8" s="79">
        <v>0</v>
      </c>
      <c r="K8" s="49">
        <v>0</v>
      </c>
      <c r="L8" s="1">
        <f t="shared" si="0"/>
        <v>1</v>
      </c>
      <c r="M8" s="28" t="s">
        <v>63</v>
      </c>
      <c r="N8" s="1">
        <v>1</v>
      </c>
      <c r="O8" s="1">
        <f>INDEX(CostMatrix!$C$19:$L$26, MATCH(P8,CostMatrix!$B$19:$B$26,0), MATCH(Q8, CostMatrix!$C$18:$L$18, 0))</f>
        <v>13784</v>
      </c>
      <c r="P8" s="1" t="str">
        <f t="shared" si="1"/>
        <v>Rajkot</v>
      </c>
      <c r="Q8" s="22" t="s">
        <v>18</v>
      </c>
    </row>
    <row r="9" spans="2:21" x14ac:dyDescent="0.25">
      <c r="B9" s="21" t="s">
        <v>62</v>
      </c>
      <c r="C9" s="21">
        <v>7</v>
      </c>
      <c r="D9" s="99">
        <v>0</v>
      </c>
      <c r="E9" s="79">
        <v>0</v>
      </c>
      <c r="F9" s="79">
        <v>0</v>
      </c>
      <c r="G9" s="79">
        <v>0</v>
      </c>
      <c r="H9" s="79">
        <v>1</v>
      </c>
      <c r="I9" s="79">
        <v>0</v>
      </c>
      <c r="J9" s="79">
        <v>0</v>
      </c>
      <c r="K9" s="49">
        <v>0</v>
      </c>
      <c r="L9" s="1">
        <f t="shared" si="0"/>
        <v>1</v>
      </c>
      <c r="M9" s="28" t="s">
        <v>63</v>
      </c>
      <c r="N9" s="1">
        <v>1</v>
      </c>
      <c r="O9" s="1">
        <f>INDEX(CostMatrix!$C$19:$L$26, MATCH(P9,CostMatrix!$B$19:$B$26,0), MATCH(Q9, CostMatrix!$C$18:$L$18, 0))</f>
        <v>4137</v>
      </c>
      <c r="P9" s="1" t="str">
        <f t="shared" si="1"/>
        <v>Kolkata</v>
      </c>
      <c r="Q9" s="22" t="s">
        <v>22</v>
      </c>
    </row>
    <row r="10" spans="2:21" ht="15.75" thickBot="1" x14ac:dyDescent="0.3">
      <c r="B10" s="21" t="s">
        <v>62</v>
      </c>
      <c r="C10" s="21">
        <v>8</v>
      </c>
      <c r="D10" s="100">
        <v>0</v>
      </c>
      <c r="E10" s="101">
        <v>1</v>
      </c>
      <c r="F10" s="101">
        <v>0</v>
      </c>
      <c r="G10" s="101">
        <v>0</v>
      </c>
      <c r="H10" s="101">
        <v>0</v>
      </c>
      <c r="I10" s="101">
        <v>0</v>
      </c>
      <c r="J10" s="101">
        <v>0</v>
      </c>
      <c r="K10" s="102">
        <v>0</v>
      </c>
      <c r="L10" s="1">
        <f t="shared" si="0"/>
        <v>1</v>
      </c>
      <c r="M10" s="28" t="s">
        <v>63</v>
      </c>
      <c r="N10" s="1">
        <v>1</v>
      </c>
      <c r="O10" s="1">
        <f>INDEX(CostMatrix!$C$19:$L$26, MATCH(P10,CostMatrix!$B$19:$B$26,0), MATCH(Q10, CostMatrix!$C$18:$L$18, 0))</f>
        <v>2655</v>
      </c>
      <c r="P10" s="1" t="str">
        <f t="shared" si="1"/>
        <v>Mumbai</v>
      </c>
      <c r="Q10" s="22" t="s">
        <v>11</v>
      </c>
    </row>
    <row r="11" spans="2:21" ht="16.5" thickBot="1" x14ac:dyDescent="0.3">
      <c r="D11" s="1">
        <f>SUM(D3:D10)</f>
        <v>1</v>
      </c>
      <c r="E11" s="1">
        <f t="shared" ref="E11:K11" si="2">SUM(E3:E10)</f>
        <v>1</v>
      </c>
      <c r="F11" s="1">
        <f t="shared" si="2"/>
        <v>1</v>
      </c>
      <c r="G11" s="1">
        <f t="shared" si="2"/>
        <v>1</v>
      </c>
      <c r="H11" s="1">
        <f t="shared" si="2"/>
        <v>1</v>
      </c>
      <c r="I11" s="1">
        <f t="shared" si="2"/>
        <v>1</v>
      </c>
      <c r="J11" s="1">
        <f t="shared" si="2"/>
        <v>1</v>
      </c>
      <c r="K11" s="1">
        <f t="shared" si="2"/>
        <v>1</v>
      </c>
      <c r="O11" s="80">
        <f>SUM(O3:O10)</f>
        <v>36501</v>
      </c>
    </row>
    <row r="12" spans="2:21" x14ac:dyDescent="0.25">
      <c r="D12" s="28" t="s">
        <v>63</v>
      </c>
      <c r="E12" s="28" t="s">
        <v>63</v>
      </c>
      <c r="F12" s="28" t="s">
        <v>63</v>
      </c>
      <c r="G12" s="28" t="s">
        <v>63</v>
      </c>
      <c r="H12" s="28" t="s">
        <v>63</v>
      </c>
      <c r="I12" s="28" t="s">
        <v>63</v>
      </c>
      <c r="J12" s="28" t="s">
        <v>63</v>
      </c>
      <c r="K12" s="28" t="s">
        <v>63</v>
      </c>
      <c r="O12" s="22"/>
    </row>
    <row r="13" spans="2:21" x14ac:dyDescent="0.25"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</row>
    <row r="15" spans="2:21" ht="56.25" thickBot="1" x14ac:dyDescent="0.3">
      <c r="D15" s="103" t="s">
        <v>6</v>
      </c>
      <c r="E15" s="103" t="s">
        <v>11</v>
      </c>
      <c r="F15" s="103" t="s">
        <v>14</v>
      </c>
      <c r="G15" s="103" t="s">
        <v>18</v>
      </c>
      <c r="H15" s="103" t="s">
        <v>22</v>
      </c>
      <c r="I15" s="103" t="s">
        <v>26</v>
      </c>
      <c r="J15" s="103" t="s">
        <v>29</v>
      </c>
      <c r="K15" s="103" t="s">
        <v>33</v>
      </c>
    </row>
    <row r="16" spans="2:21" x14ac:dyDescent="0.25">
      <c r="B16" s="21" t="s">
        <v>62</v>
      </c>
      <c r="C16" s="21">
        <v>1</v>
      </c>
      <c r="D16" s="30">
        <v>1</v>
      </c>
      <c r="E16" s="31">
        <v>0</v>
      </c>
      <c r="F16" s="32">
        <v>0</v>
      </c>
      <c r="G16" s="32">
        <v>0</v>
      </c>
      <c r="H16" s="32">
        <v>0</v>
      </c>
      <c r="I16" s="33">
        <v>1</v>
      </c>
      <c r="J16" s="32">
        <v>0</v>
      </c>
      <c r="K16" s="34">
        <v>1</v>
      </c>
      <c r="L16" s="1">
        <f>SUMPRODUCT(D3:K3,D16:K16)</f>
        <v>1</v>
      </c>
      <c r="M16" s="28" t="s">
        <v>63</v>
      </c>
      <c r="N16" s="1">
        <v>1</v>
      </c>
      <c r="P16" s="21">
        <v>1</v>
      </c>
      <c r="Q16" s="123" t="s">
        <v>99</v>
      </c>
      <c r="R16" s="123"/>
      <c r="S16" s="123"/>
      <c r="T16" s="123"/>
    </row>
    <row r="17" spans="2:20" x14ac:dyDescent="0.25">
      <c r="B17" s="21" t="s">
        <v>62</v>
      </c>
      <c r="C17" s="21">
        <v>2</v>
      </c>
      <c r="D17" s="35">
        <v>0</v>
      </c>
      <c r="E17" s="36">
        <v>0</v>
      </c>
      <c r="F17" s="37">
        <v>1</v>
      </c>
      <c r="G17" s="5">
        <v>0</v>
      </c>
      <c r="H17" s="5">
        <v>0</v>
      </c>
      <c r="I17" s="5">
        <v>0</v>
      </c>
      <c r="J17" s="37">
        <v>1</v>
      </c>
      <c r="K17" s="38">
        <v>0</v>
      </c>
      <c r="L17" s="1">
        <f t="shared" ref="L17:L23" si="3">SUMPRODUCT(D4:K4,D17:K17)</f>
        <v>1</v>
      </c>
      <c r="M17" s="28" t="s">
        <v>63</v>
      </c>
      <c r="N17" s="1">
        <v>1</v>
      </c>
      <c r="P17" s="21"/>
      <c r="Q17" s="48" t="s">
        <v>100</v>
      </c>
      <c r="R17" s="47"/>
      <c r="S17" s="29"/>
      <c r="T17" s="29"/>
    </row>
    <row r="18" spans="2:20" x14ac:dyDescent="0.25">
      <c r="B18" s="21" t="s">
        <v>62</v>
      </c>
      <c r="C18" s="21">
        <v>3</v>
      </c>
      <c r="D18" s="35">
        <v>0</v>
      </c>
      <c r="E18" s="36">
        <v>0</v>
      </c>
      <c r="F18" s="5">
        <v>0</v>
      </c>
      <c r="G18" s="5">
        <v>0</v>
      </c>
      <c r="H18" s="37">
        <v>1</v>
      </c>
      <c r="I18" s="5">
        <v>0</v>
      </c>
      <c r="J18" s="5">
        <v>0</v>
      </c>
      <c r="K18" s="39">
        <v>1</v>
      </c>
      <c r="L18" s="1">
        <f t="shared" si="3"/>
        <v>1</v>
      </c>
      <c r="M18" s="28" t="s">
        <v>63</v>
      </c>
      <c r="N18" s="1">
        <v>1</v>
      </c>
    </row>
    <row r="19" spans="2:20" x14ac:dyDescent="0.25">
      <c r="B19" s="21" t="s">
        <v>62</v>
      </c>
      <c r="C19" s="21">
        <v>4</v>
      </c>
      <c r="D19" s="35">
        <v>0</v>
      </c>
      <c r="E19" s="36">
        <v>0</v>
      </c>
      <c r="F19" s="37">
        <v>1</v>
      </c>
      <c r="G19" s="37">
        <v>1</v>
      </c>
      <c r="H19" s="37">
        <v>1</v>
      </c>
      <c r="I19" s="37">
        <v>1</v>
      </c>
      <c r="J19" s="5">
        <v>0</v>
      </c>
      <c r="K19" s="38">
        <v>0</v>
      </c>
      <c r="L19" s="1">
        <f t="shared" si="3"/>
        <v>1</v>
      </c>
      <c r="M19" s="28" t="s">
        <v>63</v>
      </c>
      <c r="N19" s="1">
        <v>1</v>
      </c>
    </row>
    <row r="20" spans="2:20" x14ac:dyDescent="0.25">
      <c r="B20" s="21" t="s">
        <v>62</v>
      </c>
      <c r="C20" s="21">
        <v>5</v>
      </c>
      <c r="D20" s="40">
        <v>1</v>
      </c>
      <c r="E20" s="36">
        <v>0</v>
      </c>
      <c r="F20" s="5">
        <v>0</v>
      </c>
      <c r="G20" s="5">
        <v>0</v>
      </c>
      <c r="H20" s="5">
        <v>0</v>
      </c>
      <c r="I20" s="5">
        <v>0</v>
      </c>
      <c r="J20" s="37">
        <v>1</v>
      </c>
      <c r="K20" s="38">
        <v>0</v>
      </c>
      <c r="L20" s="1">
        <f t="shared" si="3"/>
        <v>1</v>
      </c>
      <c r="M20" s="28" t="s">
        <v>63</v>
      </c>
      <c r="N20" s="1">
        <v>1</v>
      </c>
    </row>
    <row r="21" spans="2:20" x14ac:dyDescent="0.25">
      <c r="B21" s="21" t="s">
        <v>62</v>
      </c>
      <c r="C21" s="21">
        <v>6</v>
      </c>
      <c r="D21" s="35">
        <v>0</v>
      </c>
      <c r="E21" s="41">
        <v>1</v>
      </c>
      <c r="F21" s="5">
        <v>0</v>
      </c>
      <c r="G21" s="37">
        <v>1</v>
      </c>
      <c r="H21" s="5">
        <v>0</v>
      </c>
      <c r="I21" s="5">
        <v>0</v>
      </c>
      <c r="J21" s="5">
        <v>0</v>
      </c>
      <c r="K21" s="38">
        <v>0</v>
      </c>
      <c r="L21" s="1">
        <f t="shared" si="3"/>
        <v>1</v>
      </c>
      <c r="M21" s="28" t="s">
        <v>63</v>
      </c>
      <c r="N21" s="1">
        <v>1</v>
      </c>
    </row>
    <row r="22" spans="2:20" x14ac:dyDescent="0.25">
      <c r="B22" s="21" t="s">
        <v>62</v>
      </c>
      <c r="C22" s="21">
        <v>7</v>
      </c>
      <c r="D22" s="35">
        <v>0</v>
      </c>
      <c r="E22" s="36">
        <v>0</v>
      </c>
      <c r="F22" s="5">
        <v>0</v>
      </c>
      <c r="G22" s="5">
        <v>0</v>
      </c>
      <c r="H22" s="37">
        <v>1</v>
      </c>
      <c r="I22" s="5">
        <v>0</v>
      </c>
      <c r="J22" s="37">
        <v>1</v>
      </c>
      <c r="K22" s="38">
        <v>0</v>
      </c>
      <c r="L22" s="1">
        <f t="shared" si="3"/>
        <v>1</v>
      </c>
      <c r="M22" s="28" t="s">
        <v>63</v>
      </c>
      <c r="N22" s="1">
        <v>1</v>
      </c>
    </row>
    <row r="23" spans="2:20" ht="15.75" thickBot="1" x14ac:dyDescent="0.3">
      <c r="B23" s="21" t="s">
        <v>62</v>
      </c>
      <c r="C23" s="21">
        <v>8</v>
      </c>
      <c r="D23" s="42">
        <v>0</v>
      </c>
      <c r="E23" s="43">
        <v>1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5">
        <v>1</v>
      </c>
      <c r="L23" s="1">
        <f t="shared" si="3"/>
        <v>1</v>
      </c>
      <c r="M23" s="28" t="s">
        <v>63</v>
      </c>
      <c r="N23" s="1">
        <v>1</v>
      </c>
    </row>
    <row r="25" spans="2:20" x14ac:dyDescent="0.25">
      <c r="B25" s="124" t="s">
        <v>64</v>
      </c>
      <c r="C25" s="124"/>
      <c r="D25" s="1">
        <f>SUM(D16:D23)</f>
        <v>2</v>
      </c>
      <c r="E25" s="1">
        <f t="shared" ref="E25:K25" si="4">SUM(E16:E23)</f>
        <v>2</v>
      </c>
      <c r="F25" s="1">
        <f t="shared" si="4"/>
        <v>2</v>
      </c>
      <c r="G25" s="1">
        <f t="shared" si="4"/>
        <v>2</v>
      </c>
      <c r="H25" s="1">
        <f t="shared" si="4"/>
        <v>3</v>
      </c>
      <c r="I25" s="1">
        <f t="shared" si="4"/>
        <v>2</v>
      </c>
      <c r="J25" s="1">
        <f t="shared" si="4"/>
        <v>3</v>
      </c>
      <c r="K25" s="1">
        <f t="shared" si="4"/>
        <v>3</v>
      </c>
    </row>
  </sheetData>
  <mergeCells count="3">
    <mergeCell ref="Q16:T16"/>
    <mergeCell ref="B25:C25"/>
    <mergeCell ref="B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N14" sqref="N14"/>
    </sheetView>
  </sheetViews>
  <sheetFormatPr defaultRowHeight="15" x14ac:dyDescent="0.25"/>
  <cols>
    <col min="1" max="1" width="9" style="1" customWidth="1"/>
    <col min="2" max="2" width="5.28515625" style="1" customWidth="1"/>
    <col min="3" max="6" width="3.7109375" bestFit="1" customWidth="1"/>
    <col min="7" max="7" width="3.7109375" style="1" customWidth="1"/>
    <col min="8" max="8" width="3.5703125" style="1" customWidth="1"/>
    <col min="9" max="9" width="4.140625" style="1" customWidth="1"/>
    <col min="10" max="10" width="8.5703125" style="1" bestFit="1" customWidth="1"/>
    <col min="11" max="11" width="14.28515625" style="1" bestFit="1" customWidth="1"/>
    <col min="12" max="12" width="11.7109375" style="1" bestFit="1" customWidth="1"/>
    <col min="14" max="14" width="27.85546875" bestFit="1" customWidth="1"/>
    <col min="16" max="16" width="7.7109375" bestFit="1" customWidth="1"/>
  </cols>
  <sheetData>
    <row r="1" spans="1:16" x14ac:dyDescent="0.25">
      <c r="C1" s="23"/>
      <c r="D1" s="23"/>
      <c r="E1" s="23"/>
      <c r="F1" s="23"/>
    </row>
    <row r="2" spans="1:16" s="24" customFormat="1" ht="40.5" thickBot="1" x14ac:dyDescent="0.3">
      <c r="C2" s="103" t="s">
        <v>6</v>
      </c>
      <c r="D2" s="103" t="s">
        <v>11</v>
      </c>
      <c r="E2" s="103" t="s">
        <v>14</v>
      </c>
      <c r="F2" s="103" t="s">
        <v>18</v>
      </c>
      <c r="J2" s="25" t="s">
        <v>101</v>
      </c>
      <c r="K2" s="25" t="s">
        <v>60</v>
      </c>
      <c r="L2" s="25" t="s">
        <v>61</v>
      </c>
    </row>
    <row r="3" spans="1:16" x14ac:dyDescent="0.25">
      <c r="A3" s="21" t="s">
        <v>62</v>
      </c>
      <c r="B3" s="21">
        <v>1</v>
      </c>
      <c r="C3" s="131">
        <v>1</v>
      </c>
      <c r="D3" s="132">
        <v>0</v>
      </c>
      <c r="E3" s="132">
        <v>0</v>
      </c>
      <c r="F3" s="133">
        <v>0</v>
      </c>
      <c r="G3" s="1">
        <f>SUM(C3:F3)</f>
        <v>1</v>
      </c>
      <c r="H3" s="28" t="s">
        <v>63</v>
      </c>
      <c r="I3" s="1">
        <v>1</v>
      </c>
      <c r="J3" s="1">
        <f>INDEX(CostMatrix!$C$19:$L$26, MATCH(K3,CostMatrix!$B$19:$B$26,0), MATCH(L3, CostMatrix!$C$18:$L$18, 0))</f>
        <v>8829</v>
      </c>
      <c r="K3" s="1" t="s">
        <v>29</v>
      </c>
      <c r="L3" s="1" t="str">
        <f>INDEX($C$2:$F$2,,MATCH(1,$C3:$F3,0))</f>
        <v>Rajkot</v>
      </c>
      <c r="N3" s="29" t="s">
        <v>115</v>
      </c>
    </row>
    <row r="4" spans="1:16" x14ac:dyDescent="0.25">
      <c r="A4" s="21" t="s">
        <v>62</v>
      </c>
      <c r="B4" s="21">
        <v>2</v>
      </c>
      <c r="C4" s="99">
        <v>0</v>
      </c>
      <c r="D4" s="79">
        <v>0</v>
      </c>
      <c r="E4" s="79">
        <v>1</v>
      </c>
      <c r="F4" s="49">
        <v>0</v>
      </c>
      <c r="G4" s="1">
        <f>SUM(C4:F4)</f>
        <v>1</v>
      </c>
      <c r="H4" s="28" t="s">
        <v>63</v>
      </c>
      <c r="I4" s="1">
        <v>1</v>
      </c>
      <c r="J4" s="1">
        <f>INDEX(CostMatrix!$C$19:$L$26, MATCH(K4,CostMatrix!$B$19:$B$26,0), MATCH(L4, CostMatrix!$C$18:$L$18, 0))</f>
        <v>15983</v>
      </c>
      <c r="K4" s="1" t="str">
        <f>L3</f>
        <v>Rajkot</v>
      </c>
      <c r="L4" s="1" t="str">
        <f>INDEX($C$2:$F$2,,MATCH(1,$C4:$F4,0))</f>
        <v>Mohali</v>
      </c>
      <c r="N4" s="29"/>
    </row>
    <row r="5" spans="1:16" x14ac:dyDescent="0.25">
      <c r="A5" s="21" t="s">
        <v>62</v>
      </c>
      <c r="B5" s="21">
        <v>3</v>
      </c>
      <c r="C5" s="99">
        <v>0</v>
      </c>
      <c r="D5" s="79">
        <v>1</v>
      </c>
      <c r="E5" s="79">
        <v>0</v>
      </c>
      <c r="F5" s="49">
        <v>0</v>
      </c>
      <c r="G5" s="1">
        <f>SUM(C5:F5)</f>
        <v>1</v>
      </c>
      <c r="H5" s="28" t="s">
        <v>63</v>
      </c>
      <c r="I5" s="1">
        <v>1</v>
      </c>
      <c r="J5" s="1">
        <f>INDEX(CostMatrix!$C$19:$L$26, MATCH(K5,CostMatrix!$B$19:$B$26,0), MATCH(L5, CostMatrix!$C$18:$L$18, 0))</f>
        <v>2097</v>
      </c>
      <c r="K5" s="1" t="str">
        <f>L4</f>
        <v>Mohali</v>
      </c>
      <c r="L5" s="1" t="str">
        <f>INDEX($C$2:$F$2,,MATCH(1,$C5:$F5,0))</f>
        <v>Delhi</v>
      </c>
      <c r="N5" s="29" t="s">
        <v>97</v>
      </c>
    </row>
    <row r="6" spans="1:16" ht="15.75" thickBot="1" x14ac:dyDescent="0.3">
      <c r="A6" s="21" t="s">
        <v>62</v>
      </c>
      <c r="B6" s="21">
        <v>4</v>
      </c>
      <c r="C6" s="100">
        <v>0</v>
      </c>
      <c r="D6" s="101">
        <v>0</v>
      </c>
      <c r="E6" s="101">
        <v>0</v>
      </c>
      <c r="F6" s="102">
        <v>1</v>
      </c>
      <c r="G6" s="1">
        <f>SUM(C6:F6)</f>
        <v>1</v>
      </c>
      <c r="H6" s="28" t="s">
        <v>63</v>
      </c>
      <c r="I6" s="1">
        <v>1</v>
      </c>
      <c r="J6" s="1">
        <f>INDEX(CostMatrix!$C$19:$L$26, MATCH(K6,CostMatrix!$B$19:$B$26,0), MATCH(L6, CostMatrix!$C$18:$L$18, 0))</f>
        <v>2735</v>
      </c>
      <c r="K6" s="1" t="str">
        <f>L5</f>
        <v>Delhi</v>
      </c>
      <c r="L6" s="1" t="str">
        <f>INDEX($C$2:$F$2,,MATCH(1,$C6:$F6,0))</f>
        <v>Kolkata</v>
      </c>
      <c r="N6" s="29" t="s">
        <v>98</v>
      </c>
      <c r="O6" s="29"/>
      <c r="P6" s="29"/>
    </row>
    <row r="7" spans="1:16" ht="15.75" thickBot="1" x14ac:dyDescent="0.3">
      <c r="C7" s="1">
        <f>SUM(C3:C6)</f>
        <v>1</v>
      </c>
      <c r="D7" s="1">
        <f>SUM(D3:D6)</f>
        <v>1</v>
      </c>
      <c r="E7" s="1">
        <f>SUM(E3:E6)</f>
        <v>1</v>
      </c>
      <c r="F7" s="1">
        <f>SUM(F3:F6)</f>
        <v>1</v>
      </c>
      <c r="J7" s="142">
        <f>SUM(J3:J6)</f>
        <v>29644</v>
      </c>
    </row>
    <row r="8" spans="1:16" x14ac:dyDescent="0.25">
      <c r="C8" s="28" t="s">
        <v>63</v>
      </c>
      <c r="D8" s="28" t="s">
        <v>63</v>
      </c>
      <c r="E8" s="28" t="s">
        <v>63</v>
      </c>
      <c r="F8" s="28" t="s">
        <v>63</v>
      </c>
      <c r="J8" s="22"/>
    </row>
    <row r="9" spans="1:16" x14ac:dyDescent="0.25">
      <c r="C9" s="1">
        <v>1</v>
      </c>
      <c r="D9" s="1">
        <v>1</v>
      </c>
      <c r="E9" s="1">
        <v>1</v>
      </c>
      <c r="F9" s="1">
        <v>1</v>
      </c>
    </row>
    <row r="11" spans="1:16" ht="45.75" customHeight="1" thickBot="1" x14ac:dyDescent="0.3">
      <c r="C11" s="103" t="s">
        <v>6</v>
      </c>
      <c r="D11" s="103" t="s">
        <v>11</v>
      </c>
      <c r="E11" s="103" t="s">
        <v>14</v>
      </c>
      <c r="F11" s="103" t="s">
        <v>18</v>
      </c>
    </row>
    <row r="12" spans="1:16" x14ac:dyDescent="0.25">
      <c r="A12" s="21" t="s">
        <v>62</v>
      </c>
      <c r="B12" s="21">
        <v>1</v>
      </c>
      <c r="C12" s="134">
        <v>1</v>
      </c>
      <c r="D12" s="135">
        <v>0</v>
      </c>
      <c r="E12" s="136">
        <v>0</v>
      </c>
      <c r="F12" s="3">
        <v>1</v>
      </c>
      <c r="G12" s="1">
        <f>SUMPRODUCT(C3:F3,C12:F12)</f>
        <v>1</v>
      </c>
      <c r="H12" s="28" t="s">
        <v>63</v>
      </c>
      <c r="I12" s="1">
        <v>1</v>
      </c>
      <c r="J12" s="21">
        <v>1</v>
      </c>
      <c r="K12" s="123" t="s">
        <v>99</v>
      </c>
      <c r="L12" s="123"/>
      <c r="M12" s="123"/>
      <c r="N12" s="123"/>
    </row>
    <row r="13" spans="1:16" x14ac:dyDescent="0.25">
      <c r="A13" s="21" t="s">
        <v>62</v>
      </c>
      <c r="B13" s="21">
        <v>2</v>
      </c>
      <c r="C13" s="137">
        <v>0</v>
      </c>
      <c r="D13" s="36">
        <v>0</v>
      </c>
      <c r="E13" s="37">
        <v>1</v>
      </c>
      <c r="F13" s="6">
        <v>0</v>
      </c>
      <c r="G13" s="1">
        <f>SUMPRODUCT(C4:F4,C13:F13)</f>
        <v>1</v>
      </c>
      <c r="H13" s="28" t="s">
        <v>63</v>
      </c>
      <c r="I13" s="1">
        <v>1</v>
      </c>
      <c r="J13" s="21"/>
      <c r="K13" s="46" t="s">
        <v>100</v>
      </c>
      <c r="L13" s="21"/>
      <c r="M13" s="29"/>
      <c r="N13" s="29"/>
    </row>
    <row r="14" spans="1:16" x14ac:dyDescent="0.25">
      <c r="A14" s="21" t="s">
        <v>62</v>
      </c>
      <c r="B14" s="21">
        <v>3</v>
      </c>
      <c r="C14" s="137">
        <v>1</v>
      </c>
      <c r="D14" s="36">
        <v>1</v>
      </c>
      <c r="E14" s="120">
        <v>0</v>
      </c>
      <c r="F14" s="6">
        <v>0</v>
      </c>
      <c r="G14" s="1">
        <f>SUMPRODUCT(C5:F5,C14:F14)</f>
        <v>1</v>
      </c>
      <c r="H14" s="28" t="s">
        <v>63</v>
      </c>
      <c r="I14" s="1">
        <v>1</v>
      </c>
    </row>
    <row r="15" spans="1:16" ht="15.75" thickBot="1" x14ac:dyDescent="0.3">
      <c r="A15" s="21" t="s">
        <v>62</v>
      </c>
      <c r="B15" s="21">
        <v>4</v>
      </c>
      <c r="C15" s="138">
        <v>0</v>
      </c>
      <c r="D15" s="139">
        <v>0</v>
      </c>
      <c r="E15" s="140">
        <v>1</v>
      </c>
      <c r="F15" s="141">
        <v>1</v>
      </c>
      <c r="G15" s="1">
        <f>SUMPRODUCT(C6:F6,C15:F15)</f>
        <v>1</v>
      </c>
      <c r="H15" s="28" t="s">
        <v>63</v>
      </c>
      <c r="I15" s="1">
        <v>1</v>
      </c>
    </row>
    <row r="17" spans="1:6" x14ac:dyDescent="0.25">
      <c r="A17" s="124" t="s">
        <v>64</v>
      </c>
      <c r="B17" s="124"/>
      <c r="C17" s="1">
        <f>SUM(C12:C15)</f>
        <v>2</v>
      </c>
      <c r="D17" s="1">
        <f>SUM(D12:D15)</f>
        <v>1</v>
      </c>
      <c r="E17" s="1">
        <f>SUM(E12:E15)</f>
        <v>2</v>
      </c>
      <c r="F17" s="1">
        <f>SUM(F12:F15)</f>
        <v>2</v>
      </c>
    </row>
  </sheetData>
  <mergeCells count="2">
    <mergeCell ref="K12:N12"/>
    <mergeCell ref="A17:B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workbookViewId="0"/>
  </sheetViews>
  <sheetFormatPr defaultRowHeight="15" x14ac:dyDescent="0.25"/>
  <sheetData>
    <row r="1" spans="1:40" x14ac:dyDescent="0.25">
      <c r="A1">
        <v>2</v>
      </c>
      <c r="B1">
        <v>0</v>
      </c>
    </row>
    <row r="2" spans="1:40" x14ac:dyDescent="0.25">
      <c r="A2">
        <v>0</v>
      </c>
    </row>
    <row r="3" spans="1:40" x14ac:dyDescent="0.25">
      <c r="A3">
        <f>[1]Betting!$B$20</f>
        <v>10000</v>
      </c>
      <c r="B3" t="b">
        <v>1</v>
      </c>
      <c r="C3">
        <v>0</v>
      </c>
      <c r="D3">
        <v>1</v>
      </c>
      <c r="E3" t="s">
        <v>84</v>
      </c>
      <c r="F3">
        <v>1</v>
      </c>
      <c r="G3">
        <v>0</v>
      </c>
      <c r="H3">
        <v>0</v>
      </c>
      <c r="J3" t="s">
        <v>85</v>
      </c>
      <c r="K3" t="s">
        <v>86</v>
      </c>
      <c r="L3" t="s">
        <v>87</v>
      </c>
      <c r="AG3">
        <f>[1]Betting!$B$20</f>
        <v>10000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</row>
    <row r="4" spans="1:40" x14ac:dyDescent="0.25">
      <c r="A4" t="e">
        <f ca="1">Betting!$N$19</f>
        <v>#NAME?</v>
      </c>
      <c r="B4" t="b">
        <v>1</v>
      </c>
      <c r="C4">
        <v>0</v>
      </c>
      <c r="D4">
        <v>1</v>
      </c>
      <c r="E4" t="s">
        <v>88</v>
      </c>
      <c r="F4">
        <v>1</v>
      </c>
      <c r="G4">
        <v>0</v>
      </c>
      <c r="H4">
        <v>0</v>
      </c>
      <c r="J4" t="s">
        <v>85</v>
      </c>
      <c r="K4" t="s">
        <v>86</v>
      </c>
      <c r="L4" t="s">
        <v>87</v>
      </c>
      <c r="AG4" t="e">
        <f ca="1">Betting!$N$19</f>
        <v>#NAME?</v>
      </c>
      <c r="AH4">
        <v>2</v>
      </c>
      <c r="AI4">
        <v>1</v>
      </c>
      <c r="AJ4" t="b">
        <v>0</v>
      </c>
      <c r="AK4" t="b">
        <v>1</v>
      </c>
      <c r="AL4">
        <v>0</v>
      </c>
      <c r="AM4" t="b">
        <v>0</v>
      </c>
      <c r="AN4" t="e">
        <f>_</f>
        <v>#NAME?</v>
      </c>
    </row>
    <row r="5" spans="1:40" x14ac:dyDescent="0.25">
      <c r="A5">
        <v>0</v>
      </c>
    </row>
    <row r="6" spans="1:40" x14ac:dyDescent="0.25">
      <c r="A6" t="b">
        <v>0</v>
      </c>
      <c r="B6">
        <v>13440</v>
      </c>
      <c r="C6">
        <v>6215</v>
      </c>
      <c r="D6">
        <v>7050</v>
      </c>
      <c r="E6">
        <v>100</v>
      </c>
    </row>
    <row r="7" spans="1:40" x14ac:dyDescent="0.25">
      <c r="A7" t="b">
        <v>0</v>
      </c>
      <c r="B7">
        <v>13440</v>
      </c>
      <c r="C7">
        <v>6215</v>
      </c>
      <c r="D7">
        <v>7050</v>
      </c>
      <c r="E7">
        <v>500</v>
      </c>
    </row>
    <row r="8" spans="1:40" x14ac:dyDescent="0.25">
      <c r="A8" t="b">
        <v>0</v>
      </c>
      <c r="B8">
        <v>13440</v>
      </c>
      <c r="C8">
        <v>6215</v>
      </c>
      <c r="D8">
        <v>7050</v>
      </c>
      <c r="E8">
        <v>1000</v>
      </c>
    </row>
    <row r="9" spans="1:40" x14ac:dyDescent="0.25">
      <c r="A9" t="b">
        <v>0</v>
      </c>
      <c r="B9">
        <v>13440</v>
      </c>
      <c r="C9">
        <v>6215</v>
      </c>
      <c r="D9">
        <v>7050</v>
      </c>
      <c r="E9">
        <v>1500</v>
      </c>
    </row>
    <row r="10" spans="1:40" x14ac:dyDescent="0.25">
      <c r="A10" t="b">
        <v>0</v>
      </c>
      <c r="B10">
        <v>13440</v>
      </c>
      <c r="C10">
        <v>6215</v>
      </c>
      <c r="D10">
        <v>7050</v>
      </c>
      <c r="E10">
        <v>2000</v>
      </c>
    </row>
    <row r="11" spans="1:40" x14ac:dyDescent="0.25">
      <c r="A11">
        <v>0</v>
      </c>
    </row>
    <row r="12" spans="1:40" x14ac:dyDescent="0.25">
      <c r="A12">
        <v>0</v>
      </c>
      <c r="B12" t="b">
        <v>0</v>
      </c>
      <c r="C12" t="b">
        <v>0</v>
      </c>
      <c r="D12">
        <v>10</v>
      </c>
      <c r="E12">
        <v>0.95</v>
      </c>
      <c r="F1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0"/>
  <sheetViews>
    <sheetView zoomScale="90" zoomScaleNormal="90" workbookViewId="0">
      <selection activeCell="N22" sqref="N22"/>
    </sheetView>
  </sheetViews>
  <sheetFormatPr defaultRowHeight="15" x14ac:dyDescent="0.25"/>
  <cols>
    <col min="1" max="1" width="2" style="1" customWidth="1"/>
    <col min="2" max="2" width="9.140625" style="1"/>
    <col min="3" max="3" width="27" style="1" bestFit="1" customWidth="1"/>
    <col min="4" max="4" width="26.5703125" style="1" bestFit="1" customWidth="1"/>
    <col min="5" max="5" width="14.28515625" style="1" customWidth="1"/>
    <col min="6" max="6" width="12" style="52" bestFit="1" customWidth="1"/>
    <col min="7" max="7" width="11.85546875" style="52" bestFit="1" customWidth="1"/>
    <col min="8" max="8" width="12" style="1" bestFit="1" customWidth="1"/>
    <col min="9" max="9" width="8.28515625" style="1" customWidth="1"/>
    <col min="10" max="10" width="7.7109375" style="1" bestFit="1" customWidth="1"/>
    <col min="11" max="11" width="8.140625" style="1" bestFit="1" customWidth="1"/>
    <col min="12" max="12" width="11.140625" style="1" customWidth="1"/>
    <col min="13" max="13" width="2.28515625" style="1" customWidth="1"/>
    <col min="14" max="16384" width="9.140625" style="1"/>
  </cols>
  <sheetData>
    <row r="2" spans="2:16" x14ac:dyDescent="0.25">
      <c r="B2" s="119"/>
      <c r="C2" s="130" t="s">
        <v>81</v>
      </c>
      <c r="D2" s="130"/>
    </row>
    <row r="4" spans="2:16" ht="19.5" thickBot="1" x14ac:dyDescent="0.35">
      <c r="B4" s="122" t="s">
        <v>76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N4" s="122" t="s">
        <v>78</v>
      </c>
      <c r="O4" s="122"/>
      <c r="P4" s="122"/>
    </row>
    <row r="6" spans="2:16" s="24" customFormat="1" ht="60" x14ac:dyDescent="0.25">
      <c r="B6" s="57" t="s">
        <v>67</v>
      </c>
      <c r="C6" s="83" t="s">
        <v>68</v>
      </c>
      <c r="D6" s="83" t="s">
        <v>69</v>
      </c>
      <c r="E6" s="57" t="s">
        <v>79</v>
      </c>
      <c r="F6" s="58" t="s">
        <v>72</v>
      </c>
      <c r="G6" s="58" t="s">
        <v>102</v>
      </c>
      <c r="H6" s="57" t="s">
        <v>73</v>
      </c>
      <c r="I6" s="57" t="s">
        <v>77</v>
      </c>
      <c r="J6" s="57" t="s">
        <v>74</v>
      </c>
      <c r="K6" s="57" t="s">
        <v>75</v>
      </c>
      <c r="L6" s="57" t="s">
        <v>76</v>
      </c>
      <c r="M6" s="51"/>
      <c r="N6" s="57" t="s">
        <v>70</v>
      </c>
      <c r="O6" s="57" t="s">
        <v>71</v>
      </c>
      <c r="P6" s="57" t="s">
        <v>82</v>
      </c>
    </row>
    <row r="7" spans="2:16" x14ac:dyDescent="0.25">
      <c r="B7" s="82">
        <v>42856</v>
      </c>
      <c r="C7" s="5" t="s">
        <v>46</v>
      </c>
      <c r="D7" s="5" t="s">
        <v>20</v>
      </c>
      <c r="E7" s="36">
        <v>4</v>
      </c>
      <c r="F7" s="59">
        <f>75/100</f>
        <v>0.75</v>
      </c>
      <c r="G7" s="59">
        <f>80/100</f>
        <v>0.8</v>
      </c>
      <c r="H7" s="5">
        <f t="shared" ref="H7:H14" si="0">F7*G7</f>
        <v>0.60000000000000009</v>
      </c>
      <c r="I7" s="5">
        <v>5</v>
      </c>
      <c r="J7" s="60">
        <v>1</v>
      </c>
      <c r="K7" s="5">
        <f>IF(J7=1,1000,0)</f>
        <v>1000</v>
      </c>
      <c r="L7" s="5">
        <f>((K7*I7)*H7)</f>
        <v>3000.0000000000005</v>
      </c>
      <c r="N7" s="5">
        <f ca="1">RAND()</f>
        <v>0.88128135609209657</v>
      </c>
      <c r="O7" s="5" t="str">
        <f ca="1">IF(N7&lt;=H7,"win","loss")</f>
        <v>loss</v>
      </c>
      <c r="P7" s="5">
        <f ca="1">IF(O7="win",K7*I7,-K7)</f>
        <v>-1000</v>
      </c>
    </row>
    <row r="8" spans="2:16" x14ac:dyDescent="0.25">
      <c r="B8" s="82">
        <v>42857</v>
      </c>
      <c r="C8" s="5" t="s">
        <v>44</v>
      </c>
      <c r="D8" s="5" t="s">
        <v>51</v>
      </c>
      <c r="E8" s="36">
        <v>18</v>
      </c>
      <c r="F8" s="59">
        <f>11/18</f>
        <v>0.61111111111111116</v>
      </c>
      <c r="G8" s="61">
        <v>0.1</v>
      </c>
      <c r="H8" s="5">
        <f t="shared" si="0"/>
        <v>6.1111111111111116E-2</v>
      </c>
      <c r="I8" s="5">
        <v>500</v>
      </c>
      <c r="J8" s="60">
        <v>1</v>
      </c>
      <c r="K8" s="5">
        <f t="shared" ref="K8:K14" si="1">IF(J8=1,1000,0)</f>
        <v>1000</v>
      </c>
      <c r="L8" s="5">
        <f t="shared" ref="L8:L14" si="2">((K8*I8)*H8)</f>
        <v>30555.555555555558</v>
      </c>
      <c r="N8" s="5">
        <f t="shared" ref="N8:N14" ca="1" si="3">RAND()</f>
        <v>0.6496182392372476</v>
      </c>
      <c r="O8" s="5" t="str">
        <f t="shared" ref="O8:O14" ca="1" si="4">IF(N8&lt;=H8,"win","loss")</f>
        <v>loss</v>
      </c>
      <c r="P8" s="5">
        <f t="shared" ref="P8:P14" ca="1" si="5">IF(O8="win",K8*I8,-K8)</f>
        <v>-1000</v>
      </c>
    </row>
    <row r="9" spans="2:16" x14ac:dyDescent="0.25">
      <c r="B9" s="82">
        <v>42858</v>
      </c>
      <c r="C9" s="5" t="s">
        <v>43</v>
      </c>
      <c r="D9" s="5" t="s">
        <v>47</v>
      </c>
      <c r="E9" s="36">
        <v>4</v>
      </c>
      <c r="F9" s="59">
        <f>100/100</f>
        <v>1</v>
      </c>
      <c r="G9" s="59">
        <f>2/4</f>
        <v>0.5</v>
      </c>
      <c r="H9" s="5">
        <f t="shared" si="0"/>
        <v>0.5</v>
      </c>
      <c r="I9" s="5">
        <v>3.5</v>
      </c>
      <c r="J9" s="60">
        <v>0</v>
      </c>
      <c r="K9" s="5">
        <f t="shared" si="1"/>
        <v>0</v>
      </c>
      <c r="L9" s="5">
        <f t="shared" si="2"/>
        <v>0</v>
      </c>
      <c r="N9" s="5">
        <f t="shared" ca="1" si="3"/>
        <v>0.22703376926173413</v>
      </c>
      <c r="O9" s="5" t="str">
        <f t="shared" ca="1" si="4"/>
        <v>win</v>
      </c>
      <c r="P9" s="5">
        <f t="shared" ca="1" si="5"/>
        <v>0</v>
      </c>
    </row>
    <row r="10" spans="2:16" x14ac:dyDescent="0.25">
      <c r="B10" s="82">
        <v>42859</v>
      </c>
      <c r="C10" s="5" t="s">
        <v>49</v>
      </c>
      <c r="D10" s="5" t="s">
        <v>27</v>
      </c>
      <c r="E10" s="36">
        <v>19</v>
      </c>
      <c r="F10" s="59">
        <f>11/19</f>
        <v>0.57894736842105265</v>
      </c>
      <c r="G10" s="81">
        <f>2/5</f>
        <v>0.4</v>
      </c>
      <c r="H10" s="5">
        <f t="shared" si="0"/>
        <v>0.23157894736842108</v>
      </c>
      <c r="I10" s="5">
        <v>12.8</v>
      </c>
      <c r="J10" s="60">
        <v>1</v>
      </c>
      <c r="K10" s="5">
        <f t="shared" si="1"/>
        <v>1000</v>
      </c>
      <c r="L10" s="5">
        <f t="shared" si="2"/>
        <v>2964.2105263157896</v>
      </c>
      <c r="N10" s="5">
        <f t="shared" ca="1" si="3"/>
        <v>0.77102250744671552</v>
      </c>
      <c r="O10" s="5" t="str">
        <f t="shared" ca="1" si="4"/>
        <v>loss</v>
      </c>
      <c r="P10" s="5">
        <f t="shared" ca="1" si="5"/>
        <v>-1000</v>
      </c>
    </row>
    <row r="11" spans="2:16" x14ac:dyDescent="0.25">
      <c r="B11" s="82">
        <v>42860</v>
      </c>
      <c r="C11" s="5" t="s">
        <v>47</v>
      </c>
      <c r="D11" s="5" t="s">
        <v>46</v>
      </c>
      <c r="E11" s="36">
        <v>4</v>
      </c>
      <c r="F11" s="59">
        <f>2/4</f>
        <v>0.5</v>
      </c>
      <c r="G11" s="59">
        <f>2/5</f>
        <v>0.4</v>
      </c>
      <c r="H11" s="5">
        <f t="shared" si="0"/>
        <v>0.2</v>
      </c>
      <c r="I11" s="5">
        <v>75</v>
      </c>
      <c r="J11" s="60">
        <v>1</v>
      </c>
      <c r="K11" s="5">
        <f t="shared" si="1"/>
        <v>1000</v>
      </c>
      <c r="L11" s="5">
        <f t="shared" si="2"/>
        <v>15000</v>
      </c>
      <c r="N11" s="5">
        <f t="shared" ca="1" si="3"/>
        <v>7.490874151853455E-2</v>
      </c>
      <c r="O11" s="5" t="str">
        <f t="shared" ca="1" si="4"/>
        <v>win</v>
      </c>
      <c r="P11" s="5">
        <f t="shared" ca="1" si="5"/>
        <v>75000</v>
      </c>
    </row>
    <row r="12" spans="2:16" x14ac:dyDescent="0.25">
      <c r="B12" s="82">
        <v>42861</v>
      </c>
      <c r="C12" s="5" t="s">
        <v>48</v>
      </c>
      <c r="D12" s="5" t="s">
        <v>43</v>
      </c>
      <c r="E12" s="36">
        <v>11</v>
      </c>
      <c r="F12" s="59">
        <f>7/11</f>
        <v>0.63636363636363635</v>
      </c>
      <c r="G12" s="59">
        <f>3/5</f>
        <v>0.6</v>
      </c>
      <c r="H12" s="5">
        <f t="shared" si="0"/>
        <v>0.38181818181818178</v>
      </c>
      <c r="I12" s="5">
        <v>3.5</v>
      </c>
      <c r="J12" s="60">
        <v>0</v>
      </c>
      <c r="K12" s="5">
        <f t="shared" si="1"/>
        <v>0</v>
      </c>
      <c r="L12" s="5">
        <f t="shared" si="2"/>
        <v>0</v>
      </c>
      <c r="N12" s="5">
        <f t="shared" ca="1" si="3"/>
        <v>0.75257919921997429</v>
      </c>
      <c r="O12" s="5" t="str">
        <f t="shared" ca="1" si="4"/>
        <v>loss</v>
      </c>
      <c r="P12" s="5">
        <f t="shared" ca="1" si="5"/>
        <v>0</v>
      </c>
    </row>
    <row r="13" spans="2:16" x14ac:dyDescent="0.25">
      <c r="B13" s="82">
        <v>42862</v>
      </c>
      <c r="C13" s="5" t="s">
        <v>54</v>
      </c>
      <c r="D13" s="5" t="s">
        <v>47</v>
      </c>
      <c r="E13" s="36">
        <v>4</v>
      </c>
      <c r="F13" s="59">
        <f>2/4</f>
        <v>0.5</v>
      </c>
      <c r="G13" s="81">
        <f>4/5</f>
        <v>0.8</v>
      </c>
      <c r="H13" s="5">
        <f t="shared" si="0"/>
        <v>0.4</v>
      </c>
      <c r="I13" s="5">
        <v>2.25</v>
      </c>
      <c r="J13" s="60">
        <v>0</v>
      </c>
      <c r="K13" s="5">
        <f t="shared" si="1"/>
        <v>0</v>
      </c>
      <c r="L13" s="5">
        <f t="shared" si="2"/>
        <v>0</v>
      </c>
      <c r="N13" s="5">
        <f t="shared" ca="1" si="3"/>
        <v>0.45707339994499185</v>
      </c>
      <c r="O13" s="5" t="str">
        <f t="shared" ca="1" si="4"/>
        <v>loss</v>
      </c>
      <c r="P13" s="5">
        <f t="shared" ca="1" si="5"/>
        <v>0</v>
      </c>
    </row>
    <row r="14" spans="2:16" x14ac:dyDescent="0.25">
      <c r="B14" s="82">
        <v>42863</v>
      </c>
      <c r="C14" s="5" t="s">
        <v>51</v>
      </c>
      <c r="D14" s="5" t="s">
        <v>48</v>
      </c>
      <c r="E14" s="36">
        <v>20</v>
      </c>
      <c r="F14" s="59">
        <f>7/20</f>
        <v>0.35</v>
      </c>
      <c r="G14" s="81">
        <f>1/5</f>
        <v>0.2</v>
      </c>
      <c r="H14" s="5">
        <f t="shared" si="0"/>
        <v>6.9999999999999993E-2</v>
      </c>
      <c r="I14" s="5">
        <v>50</v>
      </c>
      <c r="J14" s="60">
        <v>1</v>
      </c>
      <c r="K14" s="5">
        <f t="shared" si="1"/>
        <v>1000</v>
      </c>
      <c r="L14" s="5">
        <f t="shared" si="2"/>
        <v>3499.9999999999995</v>
      </c>
      <c r="N14" s="5">
        <f t="shared" ca="1" si="3"/>
        <v>0.26584110665230565</v>
      </c>
      <c r="O14" s="5" t="str">
        <f t="shared" ca="1" si="4"/>
        <v>loss</v>
      </c>
      <c r="P14" s="5">
        <f t="shared" ca="1" si="5"/>
        <v>-1000</v>
      </c>
    </row>
    <row r="15" spans="2:16" x14ac:dyDescent="0.25">
      <c r="B15" s="50"/>
      <c r="C15" s="22"/>
      <c r="D15" s="22"/>
      <c r="G15" s="55"/>
      <c r="J15" s="54">
        <f>SUM(J7:J14)</f>
        <v>5</v>
      </c>
    </row>
    <row r="16" spans="2:16" x14ac:dyDescent="0.25">
      <c r="J16" s="1" t="s">
        <v>63</v>
      </c>
    </row>
    <row r="17" spans="5:14" x14ac:dyDescent="0.25">
      <c r="J17" s="1">
        <v>5</v>
      </c>
    </row>
    <row r="18" spans="5:14" ht="15.75" thickBot="1" x14ac:dyDescent="0.3"/>
    <row r="19" spans="5:14" ht="15.75" thickBot="1" x14ac:dyDescent="0.3">
      <c r="E19" s="128" t="s">
        <v>80</v>
      </c>
      <c r="F19" s="129"/>
      <c r="G19" s="53">
        <f>SUM(L7:L14)</f>
        <v>55019.766081871348</v>
      </c>
      <c r="J19" s="126" t="s">
        <v>83</v>
      </c>
      <c r="K19" s="127"/>
      <c r="L19" s="127"/>
      <c r="M19" s="127"/>
      <c r="N19" s="56" t="e">
        <f ca="1">_xll.RiskOutput("Total Payoff Winnings")+SUM(P7:P14)</f>
        <v>#NAME?</v>
      </c>
    </row>
    <row r="20" spans="5:14" x14ac:dyDescent="0.25">
      <c r="N20" s="114" t="s">
        <v>118</v>
      </c>
    </row>
  </sheetData>
  <mergeCells count="5">
    <mergeCell ref="N4:P4"/>
    <mergeCell ref="B4:L4"/>
    <mergeCell ref="J19:M19"/>
    <mergeCell ref="E19:F19"/>
    <mergeCell ref="C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Objective</vt:lpstr>
      <vt:lpstr>Teams</vt:lpstr>
      <vt:lpstr>CostMatrix</vt:lpstr>
      <vt:lpstr>MatchSchedule</vt:lpstr>
      <vt:lpstr>MinimumCost</vt:lpstr>
      <vt:lpstr>8TeamsSolution</vt:lpstr>
      <vt:lpstr>4TeamsSolution</vt:lpstr>
      <vt:lpstr>RiskSerializationData</vt:lpstr>
      <vt:lpstr>Betting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2017-05-06T17:37:24Z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0ad65c21-b7ed-48f2-9ce7-428f4812148f</vt:lpwstr>
  </property>
</Properties>
</file>