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E52B1A4B-38B1-4DA8-B071-55A57FEF8B61}" xr6:coauthVersionLast="45" xr6:coauthVersionMax="45" xr10:uidLastSave="{00000000-0000-0000-0000-000000000000}"/>
  <bookViews>
    <workbookView xWindow="28680" yWindow="-120" windowWidth="29040" windowHeight="15840" tabRatio="900" xr2:uid="{00000000-000D-0000-FFFF-FFFF00000000}"/>
  </bookViews>
  <sheets>
    <sheet name="Input-Output Screen" sheetId="9" r:id="rId1"/>
    <sheet name="Sheet7" sheetId="16" r:id="rId2"/>
    <sheet name="DSM-AS4600 (SA, 2005)-Ambient" sheetId="8" r:id="rId3"/>
    <sheet name="DSM -Temp (Sheet 1) " sheetId="7" r:id="rId4"/>
    <sheet name="DSM -Temp (Sheet 2)" sheetId="10" r:id="rId5"/>
    <sheet name="DSM -Temp (Sheet 3)" sheetId="11" r:id="rId6"/>
    <sheet name="DSM -Temp (Sheet 4)" sheetId="12" r:id="rId7"/>
    <sheet name="DSM -Temp (Sheet 5)" sheetId="13" r:id="rId8"/>
    <sheet name="DSM -Temp (Sheet 6)" sheetId="14" r:id="rId9"/>
    <sheet name="DSM -Temp (Sheet 7)" sheetId="17" r:id="rId10"/>
    <sheet name="DSM -Temp (Sheet 8)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8" l="1"/>
  <c r="I15" i="9" l="1"/>
  <c r="C14" i="17" l="1"/>
  <c r="C13" i="17"/>
  <c r="C13" i="19"/>
  <c r="C14" i="19"/>
  <c r="C2" i="19"/>
  <c r="C2" i="17"/>
  <c r="C56" i="19"/>
  <c r="C25" i="19"/>
  <c r="C22" i="19"/>
  <c r="C18" i="19"/>
  <c r="C17" i="19"/>
  <c r="C12" i="19"/>
  <c r="C11" i="19"/>
  <c r="C94" i="19" s="1"/>
  <c r="C10" i="19"/>
  <c r="C9" i="19"/>
  <c r="C8" i="19"/>
  <c r="C6" i="19"/>
  <c r="C5" i="19"/>
  <c r="C56" i="17"/>
  <c r="C25" i="17"/>
  <c r="C22" i="17"/>
  <c r="C18" i="17"/>
  <c r="C17" i="17"/>
  <c r="C12" i="17"/>
  <c r="C11" i="17"/>
  <c r="C94" i="17" s="1"/>
  <c r="C10" i="17"/>
  <c r="C9" i="17"/>
  <c r="C8" i="17"/>
  <c r="C6" i="17"/>
  <c r="C5" i="17"/>
  <c r="C29" i="17" l="1"/>
  <c r="C35" i="17" s="1"/>
  <c r="C29" i="19"/>
  <c r="C35" i="19" s="1"/>
  <c r="C45" i="17"/>
  <c r="C45" i="19"/>
  <c r="C44" i="19"/>
  <c r="C44" i="17"/>
  <c r="C30" i="17"/>
  <c r="C46" i="17" s="1"/>
  <c r="C39" i="17"/>
  <c r="C55" i="17" s="1"/>
  <c r="C30" i="19"/>
  <c r="C39" i="19"/>
  <c r="C33" i="19"/>
  <c r="C34" i="19" s="1"/>
  <c r="C40" i="19"/>
  <c r="C33" i="17"/>
  <c r="C34" i="17" s="1"/>
  <c r="C40" i="17"/>
  <c r="C51" i="17" l="1"/>
  <c r="C52" i="17" s="1"/>
  <c r="C47" i="17"/>
  <c r="C79" i="17" s="1"/>
  <c r="C41" i="17"/>
  <c r="C102" i="17" s="1"/>
  <c r="C128" i="17" s="1"/>
  <c r="C55" i="19"/>
  <c r="C46" i="19"/>
  <c r="C41" i="19"/>
  <c r="C51" i="19"/>
  <c r="C52" i="19" s="1"/>
  <c r="C58" i="19"/>
  <c r="C57" i="19"/>
  <c r="C58" i="17"/>
  <c r="C57" i="17"/>
  <c r="C81" i="17" l="1"/>
  <c r="C59" i="17"/>
  <c r="C42" i="17"/>
  <c r="C60" i="17" s="1"/>
  <c r="C59" i="19"/>
  <c r="C102" i="19"/>
  <c r="C128" i="19" s="1"/>
  <c r="C47" i="19"/>
  <c r="C79" i="19" s="1"/>
  <c r="C42" i="19"/>
  <c r="C81" i="19"/>
  <c r="C60" i="19" l="1"/>
  <c r="C72" i="19" s="1"/>
  <c r="C70" i="19"/>
  <c r="C69" i="19"/>
  <c r="C95" i="17"/>
  <c r="C61" i="17"/>
  <c r="C69" i="17"/>
  <c r="C70" i="17"/>
  <c r="C73" i="17"/>
  <c r="C72" i="17"/>
  <c r="C71" i="17"/>
  <c r="C71" i="19" l="1"/>
  <c r="C61" i="19"/>
  <c r="C95" i="19"/>
  <c r="C73" i="19"/>
  <c r="C75" i="19" s="1"/>
  <c r="C75" i="17"/>
  <c r="C80" i="17" s="1"/>
  <c r="C64" i="19"/>
  <c r="C63" i="19"/>
  <c r="C64" i="17"/>
  <c r="C63" i="17"/>
  <c r="C97" i="17" l="1"/>
  <c r="C100" i="17" s="1"/>
  <c r="C105" i="17" s="1"/>
  <c r="C106" i="17" s="1"/>
  <c r="C80" i="19"/>
  <c r="C97" i="19"/>
  <c r="C112" i="17"/>
  <c r="C138" i="17"/>
  <c r="C84" i="17"/>
  <c r="C85" i="17" s="1"/>
  <c r="C126" i="17" l="1"/>
  <c r="C131" i="17" s="1"/>
  <c r="C132" i="17" s="1"/>
  <c r="C126" i="19"/>
  <c r="C131" i="19" s="1"/>
  <c r="C132" i="19" s="1"/>
  <c r="C100" i="19"/>
  <c r="C105" i="19" s="1"/>
  <c r="C106" i="19" s="1"/>
  <c r="C112" i="19"/>
  <c r="C138" i="19"/>
  <c r="C84" i="19"/>
  <c r="C85" i="19" s="1"/>
  <c r="C88" i="17"/>
  <c r="C89" i="17" s="1"/>
  <c r="C91" i="17" s="1"/>
  <c r="C88" i="19" l="1"/>
  <c r="C89" i="19" s="1"/>
  <c r="C91" i="19" s="1"/>
  <c r="D138" i="17"/>
  <c r="B139" i="17" s="1"/>
  <c r="C139" i="17" s="1"/>
  <c r="D139" i="17" s="1"/>
  <c r="B140" i="17" s="1"/>
  <c r="C140" i="17" s="1"/>
  <c r="D140" i="17" s="1"/>
  <c r="B141" i="17" s="1"/>
  <c r="C141" i="17" s="1"/>
  <c r="D141" i="17" s="1"/>
  <c r="B142" i="17" s="1"/>
  <c r="C142" i="17" s="1"/>
  <c r="D142" i="17" s="1"/>
  <c r="B143" i="17" s="1"/>
  <c r="C143" i="17" s="1"/>
  <c r="D143" i="17" s="1"/>
  <c r="B144" i="17" s="1"/>
  <c r="C144" i="17" s="1"/>
  <c r="D144" i="17" s="1"/>
  <c r="B145" i="17" s="1"/>
  <c r="C145" i="17" s="1"/>
  <c r="D145" i="17" s="1"/>
  <c r="B146" i="17" s="1"/>
  <c r="C146" i="17" s="1"/>
  <c r="D146" i="17" s="1"/>
  <c r="B147" i="17" s="1"/>
  <c r="C147" i="17" s="1"/>
  <c r="D147" i="17" s="1"/>
  <c r="D149" i="17" s="1"/>
  <c r="D112" i="17"/>
  <c r="B113" i="17" s="1"/>
  <c r="C113" i="17" s="1"/>
  <c r="D113" i="17" s="1"/>
  <c r="B114" i="17" s="1"/>
  <c r="C114" i="17" s="1"/>
  <c r="D114" i="17" s="1"/>
  <c r="B115" i="17" s="1"/>
  <c r="C115" i="17" s="1"/>
  <c r="D115" i="17" s="1"/>
  <c r="B116" i="17" s="1"/>
  <c r="C116" i="17" s="1"/>
  <c r="D116" i="17" s="1"/>
  <c r="B117" i="17" s="1"/>
  <c r="C117" i="17" s="1"/>
  <c r="D117" i="17" s="1"/>
  <c r="B118" i="17" s="1"/>
  <c r="C118" i="17" s="1"/>
  <c r="D118" i="17" s="1"/>
  <c r="B119" i="17" s="1"/>
  <c r="C119" i="17" s="1"/>
  <c r="D119" i="17" s="1"/>
  <c r="B120" i="17" s="1"/>
  <c r="C120" i="17" s="1"/>
  <c r="D120" i="17" s="1"/>
  <c r="B121" i="17" s="1"/>
  <c r="C121" i="17" s="1"/>
  <c r="D121" i="17" s="1"/>
  <c r="D123" i="17" s="1"/>
  <c r="F123" i="17" s="1"/>
  <c r="C152" i="17" l="1"/>
  <c r="I13" i="9" s="1"/>
  <c r="D112" i="19"/>
  <c r="B113" i="19" s="1"/>
  <c r="C113" i="19" s="1"/>
  <c r="D113" i="19" s="1"/>
  <c r="B114" i="19" s="1"/>
  <c r="C114" i="19" s="1"/>
  <c r="D114" i="19" s="1"/>
  <c r="B115" i="19" s="1"/>
  <c r="C115" i="19" s="1"/>
  <c r="D115" i="19" s="1"/>
  <c r="B116" i="19" s="1"/>
  <c r="C116" i="19" s="1"/>
  <c r="D116" i="19" s="1"/>
  <c r="B117" i="19" s="1"/>
  <c r="C117" i="19" s="1"/>
  <c r="D117" i="19" s="1"/>
  <c r="B118" i="19" s="1"/>
  <c r="C118" i="19" s="1"/>
  <c r="D118" i="19" s="1"/>
  <c r="B119" i="19" s="1"/>
  <c r="C119" i="19" s="1"/>
  <c r="D119" i="19" s="1"/>
  <c r="B120" i="19" s="1"/>
  <c r="C120" i="19" s="1"/>
  <c r="D120" i="19" s="1"/>
  <c r="B121" i="19" s="1"/>
  <c r="C121" i="19" s="1"/>
  <c r="D121" i="19" s="1"/>
  <c r="D123" i="19" s="1"/>
  <c r="F123" i="19" s="1"/>
  <c r="D138" i="19"/>
  <c r="B139" i="19" s="1"/>
  <c r="C139" i="19" s="1"/>
  <c r="D139" i="19" s="1"/>
  <c r="B140" i="19" s="1"/>
  <c r="C140" i="19" s="1"/>
  <c r="D140" i="19" s="1"/>
  <c r="B141" i="19" s="1"/>
  <c r="C141" i="19" s="1"/>
  <c r="D141" i="19" s="1"/>
  <c r="B142" i="19" s="1"/>
  <c r="C142" i="19" s="1"/>
  <c r="D142" i="19" s="1"/>
  <c r="B143" i="19" s="1"/>
  <c r="C143" i="19" s="1"/>
  <c r="D143" i="19" s="1"/>
  <c r="B144" i="19" s="1"/>
  <c r="C144" i="19" s="1"/>
  <c r="D144" i="19" s="1"/>
  <c r="B145" i="19" s="1"/>
  <c r="C145" i="19" s="1"/>
  <c r="D145" i="19" s="1"/>
  <c r="B146" i="19" s="1"/>
  <c r="C146" i="19" s="1"/>
  <c r="D146" i="19" s="1"/>
  <c r="B147" i="19" s="1"/>
  <c r="C147" i="19" s="1"/>
  <c r="D147" i="19" s="1"/>
  <c r="D149" i="19" s="1"/>
  <c r="B152" i="17"/>
  <c r="B152" i="19" l="1"/>
  <c r="C152" i="19"/>
  <c r="I14" i="9" s="1"/>
  <c r="Q12" i="9" l="1"/>
  <c r="Q11" i="9"/>
  <c r="C2" i="14"/>
  <c r="C2" i="13"/>
  <c r="C2" i="12"/>
  <c r="C2" i="11"/>
  <c r="C2" i="10"/>
  <c r="C14" i="14"/>
  <c r="C13" i="14"/>
  <c r="C14" i="13"/>
  <c r="C13" i="13"/>
  <c r="C14" i="12"/>
  <c r="C45" i="12" s="1"/>
  <c r="C13" i="12"/>
  <c r="C14" i="11"/>
  <c r="C13" i="11"/>
  <c r="C56" i="14"/>
  <c r="C25" i="14"/>
  <c r="C22" i="14"/>
  <c r="C18" i="14"/>
  <c r="C17" i="14"/>
  <c r="C12" i="14"/>
  <c r="C11" i="14"/>
  <c r="C10" i="14"/>
  <c r="C9" i="14"/>
  <c r="C8" i="14"/>
  <c r="C6" i="14"/>
  <c r="C5" i="14"/>
  <c r="C56" i="13"/>
  <c r="C25" i="13"/>
  <c r="C22" i="13"/>
  <c r="C18" i="13"/>
  <c r="C17" i="13"/>
  <c r="C12" i="13"/>
  <c r="C11" i="13"/>
  <c r="C10" i="13"/>
  <c r="C9" i="13"/>
  <c r="C8" i="13"/>
  <c r="C6" i="13"/>
  <c r="C5" i="13"/>
  <c r="C56" i="12"/>
  <c r="C25" i="12"/>
  <c r="C22" i="12"/>
  <c r="C18" i="12"/>
  <c r="C17" i="12"/>
  <c r="C12" i="12"/>
  <c r="C11" i="12"/>
  <c r="C94" i="12" s="1"/>
  <c r="C10" i="12"/>
  <c r="C9" i="12"/>
  <c r="C8" i="12"/>
  <c r="C6" i="12"/>
  <c r="C5" i="12"/>
  <c r="C56" i="11"/>
  <c r="C25" i="11"/>
  <c r="C22" i="11"/>
  <c r="C18" i="11"/>
  <c r="C17" i="11"/>
  <c r="C12" i="11"/>
  <c r="C11" i="11"/>
  <c r="C94" i="11" s="1"/>
  <c r="C10" i="11"/>
  <c r="C9" i="11"/>
  <c r="C8" i="11"/>
  <c r="C6" i="11"/>
  <c r="C5" i="11"/>
  <c r="C14" i="10"/>
  <c r="C13" i="10"/>
  <c r="C56" i="10"/>
  <c r="C25" i="10"/>
  <c r="C22" i="10"/>
  <c r="C18" i="10"/>
  <c r="C17" i="10"/>
  <c r="C12" i="10"/>
  <c r="C11" i="10"/>
  <c r="C10" i="10"/>
  <c r="C9" i="10"/>
  <c r="C8" i="10"/>
  <c r="C6" i="10"/>
  <c r="C5" i="10"/>
  <c r="C29" i="10" l="1"/>
  <c r="C33" i="13"/>
  <c r="C34" i="13" s="1"/>
  <c r="C39" i="11"/>
  <c r="C55" i="11" s="1"/>
  <c r="C44" i="13"/>
  <c r="C45" i="11"/>
  <c r="C45" i="13"/>
  <c r="C29" i="11"/>
  <c r="C29" i="12"/>
  <c r="C35" i="12" s="1"/>
  <c r="C29" i="13"/>
  <c r="C35" i="13" s="1"/>
  <c r="C29" i="14"/>
  <c r="C35" i="14" s="1"/>
  <c r="C45" i="14"/>
  <c r="C33" i="10"/>
  <c r="C34" i="10" s="1"/>
  <c r="C44" i="10"/>
  <c r="C45" i="10"/>
  <c r="C39" i="12"/>
  <c r="C55" i="12" s="1"/>
  <c r="C44" i="14"/>
  <c r="C40" i="10"/>
  <c r="C57" i="10" s="1"/>
  <c r="C44" i="11"/>
  <c r="C35" i="10"/>
  <c r="C40" i="14"/>
  <c r="C57" i="14" s="1"/>
  <c r="C40" i="13"/>
  <c r="C58" i="13" s="1"/>
  <c r="C30" i="12"/>
  <c r="C46" i="12" s="1"/>
  <c r="C44" i="12"/>
  <c r="C30" i="14"/>
  <c r="C39" i="14"/>
  <c r="C33" i="14"/>
  <c r="C34" i="14" s="1"/>
  <c r="C94" i="14"/>
  <c r="C30" i="13"/>
  <c r="C39" i="13"/>
  <c r="C94" i="13"/>
  <c r="C33" i="12"/>
  <c r="C34" i="12" s="1"/>
  <c r="C40" i="12"/>
  <c r="C35" i="11"/>
  <c r="C30" i="11"/>
  <c r="C33" i="11"/>
  <c r="C34" i="11" s="1"/>
  <c r="C40" i="11"/>
  <c r="C58" i="10"/>
  <c r="C30" i="10"/>
  <c r="C39" i="10"/>
  <c r="C94" i="10"/>
  <c r="C10" i="8"/>
  <c r="C47" i="12" l="1"/>
  <c r="C79" i="12" s="1"/>
  <c r="C51" i="12"/>
  <c r="C52" i="12" s="1"/>
  <c r="C41" i="12"/>
  <c r="C42" i="12" s="1"/>
  <c r="C58" i="14"/>
  <c r="C57" i="13"/>
  <c r="C46" i="14"/>
  <c r="C41" i="14"/>
  <c r="C42" i="14" s="1"/>
  <c r="C51" i="14"/>
  <c r="C52" i="14" s="1"/>
  <c r="C55" i="14"/>
  <c r="C55" i="13"/>
  <c r="C46" i="13"/>
  <c r="C41" i="13"/>
  <c r="C51" i="13"/>
  <c r="C52" i="13" s="1"/>
  <c r="C58" i="12"/>
  <c r="C57" i="12"/>
  <c r="C58" i="11"/>
  <c r="C57" i="11"/>
  <c r="C51" i="11"/>
  <c r="C52" i="11" s="1"/>
  <c r="C41" i="11"/>
  <c r="C46" i="11"/>
  <c r="C55" i="10"/>
  <c r="C46" i="10"/>
  <c r="C41" i="10"/>
  <c r="C42" i="10" s="1"/>
  <c r="C51" i="10"/>
  <c r="C52" i="10" s="1"/>
  <c r="C21" i="8"/>
  <c r="C81" i="12" l="1"/>
  <c r="C102" i="12"/>
  <c r="C128" i="12" s="1"/>
  <c r="C59" i="12"/>
  <c r="C60" i="12"/>
  <c r="C71" i="12" s="1"/>
  <c r="C59" i="14"/>
  <c r="C60" i="14" s="1"/>
  <c r="C102" i="14"/>
  <c r="C128" i="14" s="1"/>
  <c r="C47" i="14"/>
  <c r="C79" i="14" s="1"/>
  <c r="C81" i="14"/>
  <c r="C59" i="13"/>
  <c r="C102" i="13"/>
  <c r="C128" i="13" s="1"/>
  <c r="C47" i="13"/>
  <c r="C79" i="13" s="1"/>
  <c r="C42" i="13"/>
  <c r="C81" i="13"/>
  <c r="C59" i="11"/>
  <c r="C47" i="11"/>
  <c r="C79" i="11" s="1"/>
  <c r="C42" i="11"/>
  <c r="C81" i="11"/>
  <c r="C102" i="11"/>
  <c r="C128" i="11" s="1"/>
  <c r="C59" i="10"/>
  <c r="C60" i="10" s="1"/>
  <c r="C102" i="10"/>
  <c r="C128" i="10" s="1"/>
  <c r="C47" i="10"/>
  <c r="C79" i="10" s="1"/>
  <c r="C81" i="10"/>
  <c r="C56" i="7"/>
  <c r="C61" i="12" l="1"/>
  <c r="C63" i="12" s="1"/>
  <c r="C70" i="12"/>
  <c r="C60" i="13"/>
  <c r="C95" i="13" s="1"/>
  <c r="C72" i="12"/>
  <c r="C95" i="12"/>
  <c r="C60" i="11"/>
  <c r="C95" i="11" s="1"/>
  <c r="C69" i="12"/>
  <c r="C73" i="12"/>
  <c r="C95" i="14"/>
  <c r="C61" i="14"/>
  <c r="C72" i="14"/>
  <c r="C71" i="14"/>
  <c r="C70" i="14"/>
  <c r="C69" i="14"/>
  <c r="C73" i="14"/>
  <c r="C64" i="12"/>
  <c r="C95" i="10"/>
  <c r="C61" i="10"/>
  <c r="C72" i="10"/>
  <c r="C71" i="10"/>
  <c r="C70" i="10"/>
  <c r="C69" i="10"/>
  <c r="C73" i="10"/>
  <c r="I16" i="9"/>
  <c r="C14" i="7"/>
  <c r="C13" i="7"/>
  <c r="C71" i="11" l="1"/>
  <c r="C71" i="13"/>
  <c r="C73" i="13"/>
  <c r="C72" i="13"/>
  <c r="C61" i="11"/>
  <c r="C64" i="11" s="1"/>
  <c r="C70" i="13"/>
  <c r="C61" i="13"/>
  <c r="C63" i="13" s="1"/>
  <c r="C69" i="13"/>
  <c r="C75" i="12"/>
  <c r="C80" i="12" s="1"/>
  <c r="C73" i="11"/>
  <c r="C70" i="11"/>
  <c r="C69" i="11"/>
  <c r="C72" i="11"/>
  <c r="C75" i="14"/>
  <c r="C64" i="14"/>
  <c r="C63" i="14"/>
  <c r="C64" i="10"/>
  <c r="C63" i="10"/>
  <c r="C75" i="10"/>
  <c r="C97" i="12" l="1"/>
  <c r="C64" i="13"/>
  <c r="C75" i="11"/>
  <c r="C97" i="11" s="1"/>
  <c r="C75" i="13"/>
  <c r="C97" i="13" s="1"/>
  <c r="C63" i="11"/>
  <c r="C80" i="14"/>
  <c r="C97" i="14"/>
  <c r="C126" i="12"/>
  <c r="C131" i="12" s="1"/>
  <c r="C132" i="12" s="1"/>
  <c r="C100" i="12"/>
  <c r="C105" i="12" s="1"/>
  <c r="C106" i="12" s="1"/>
  <c r="C112" i="12"/>
  <c r="C138" i="12"/>
  <c r="C84" i="12"/>
  <c r="C85" i="12" s="1"/>
  <c r="C80" i="10"/>
  <c r="C97" i="10"/>
  <c r="C20" i="8"/>
  <c r="C16" i="8"/>
  <c r="C13" i="8"/>
  <c r="C12" i="8"/>
  <c r="C11" i="8"/>
  <c r="C9" i="8"/>
  <c r="C41" i="8" l="1"/>
  <c r="C80" i="11"/>
  <c r="C84" i="11" s="1"/>
  <c r="C85" i="11" s="1"/>
  <c r="C80" i="13"/>
  <c r="C84" i="13" s="1"/>
  <c r="C85" i="13" s="1"/>
  <c r="C100" i="14"/>
  <c r="C105" i="14" s="1"/>
  <c r="C106" i="14" s="1"/>
  <c r="C126" i="14"/>
  <c r="C131" i="14" s="1"/>
  <c r="C132" i="14" s="1"/>
  <c r="C112" i="14"/>
  <c r="C138" i="14"/>
  <c r="C84" i="14"/>
  <c r="C85" i="14" s="1"/>
  <c r="C100" i="13"/>
  <c r="C105" i="13" s="1"/>
  <c r="C106" i="13" s="1"/>
  <c r="C126" i="13"/>
  <c r="C131" i="13" s="1"/>
  <c r="C132" i="13" s="1"/>
  <c r="C112" i="13"/>
  <c r="C138" i="13"/>
  <c r="C88" i="12"/>
  <c r="C89" i="12" s="1"/>
  <c r="C91" i="12" s="1"/>
  <c r="C100" i="11"/>
  <c r="C105" i="11" s="1"/>
  <c r="C106" i="11" s="1"/>
  <c r="C126" i="11"/>
  <c r="C131" i="11" s="1"/>
  <c r="C132" i="11" s="1"/>
  <c r="C100" i="10"/>
  <c r="C105" i="10" s="1"/>
  <c r="C106" i="10" s="1"/>
  <c r="C126" i="10"/>
  <c r="C131" i="10" s="1"/>
  <c r="C132" i="10" s="1"/>
  <c r="C112" i="10"/>
  <c r="C138" i="10"/>
  <c r="C84" i="10"/>
  <c r="C85" i="10" s="1"/>
  <c r="C35" i="8"/>
  <c r="C112" i="11" l="1"/>
  <c r="C138" i="11"/>
  <c r="F42" i="8"/>
  <c r="C88" i="14"/>
  <c r="C89" i="14" s="1"/>
  <c r="C91" i="14" s="1"/>
  <c r="C88" i="13"/>
  <c r="C89" i="13" s="1"/>
  <c r="C91" i="13" s="1"/>
  <c r="D112" i="12"/>
  <c r="B113" i="12" s="1"/>
  <c r="C113" i="12" s="1"/>
  <c r="D113" i="12" s="1"/>
  <c r="B114" i="12" s="1"/>
  <c r="C114" i="12" s="1"/>
  <c r="D114" i="12" s="1"/>
  <c r="B115" i="12" s="1"/>
  <c r="C115" i="12" s="1"/>
  <c r="D115" i="12" s="1"/>
  <c r="B116" i="12" s="1"/>
  <c r="C116" i="12" s="1"/>
  <c r="D116" i="12" s="1"/>
  <c r="B117" i="12" s="1"/>
  <c r="C117" i="12" s="1"/>
  <c r="D117" i="12" s="1"/>
  <c r="B118" i="12" s="1"/>
  <c r="C118" i="12" s="1"/>
  <c r="D118" i="12" s="1"/>
  <c r="B119" i="12" s="1"/>
  <c r="C119" i="12" s="1"/>
  <c r="D119" i="12" s="1"/>
  <c r="B120" i="12" s="1"/>
  <c r="C120" i="12" s="1"/>
  <c r="D120" i="12" s="1"/>
  <c r="B121" i="12" s="1"/>
  <c r="C121" i="12" s="1"/>
  <c r="D121" i="12" s="1"/>
  <c r="D123" i="12" s="1"/>
  <c r="F123" i="12" s="1"/>
  <c r="D138" i="12"/>
  <c r="B139" i="12" s="1"/>
  <c r="C139" i="12" s="1"/>
  <c r="D139" i="12" s="1"/>
  <c r="B140" i="12" s="1"/>
  <c r="C140" i="12" s="1"/>
  <c r="D140" i="12" s="1"/>
  <c r="B141" i="12" s="1"/>
  <c r="C141" i="12" s="1"/>
  <c r="D141" i="12" s="1"/>
  <c r="B142" i="12" s="1"/>
  <c r="C142" i="12" s="1"/>
  <c r="D142" i="12" s="1"/>
  <c r="B143" i="12" s="1"/>
  <c r="C143" i="12" s="1"/>
  <c r="D143" i="12" s="1"/>
  <c r="B144" i="12" s="1"/>
  <c r="C144" i="12" s="1"/>
  <c r="D144" i="12" s="1"/>
  <c r="B145" i="12" s="1"/>
  <c r="C145" i="12" s="1"/>
  <c r="D145" i="12" s="1"/>
  <c r="B146" i="12" s="1"/>
  <c r="C146" i="12" s="1"/>
  <c r="D146" i="12" s="1"/>
  <c r="B147" i="12" s="1"/>
  <c r="C147" i="12" s="1"/>
  <c r="D147" i="12" s="1"/>
  <c r="D149" i="12" s="1"/>
  <c r="C88" i="11"/>
  <c r="C89" i="11" s="1"/>
  <c r="C91" i="11" s="1"/>
  <c r="C88" i="10"/>
  <c r="C89" i="10" s="1"/>
  <c r="C91" i="10" s="1"/>
  <c r="C2" i="7"/>
  <c r="C25" i="7"/>
  <c r="C22" i="7"/>
  <c r="C18" i="7"/>
  <c r="C17" i="7"/>
  <c r="C12" i="7"/>
  <c r="C11" i="7"/>
  <c r="C10" i="7"/>
  <c r="C9" i="7"/>
  <c r="C8" i="7"/>
  <c r="C6" i="7"/>
  <c r="C5" i="7"/>
  <c r="C152" i="12" l="1"/>
  <c r="I10" i="9" s="1"/>
  <c r="B152" i="12"/>
  <c r="D112" i="14"/>
  <c r="B113" i="14" s="1"/>
  <c r="C113" i="14" s="1"/>
  <c r="D113" i="14" s="1"/>
  <c r="B114" i="14" s="1"/>
  <c r="C114" i="14" s="1"/>
  <c r="D114" i="14" s="1"/>
  <c r="B115" i="14" s="1"/>
  <c r="C115" i="14" s="1"/>
  <c r="D115" i="14" s="1"/>
  <c r="B116" i="14" s="1"/>
  <c r="C116" i="14" s="1"/>
  <c r="D116" i="14" s="1"/>
  <c r="B117" i="14" s="1"/>
  <c r="C117" i="14" s="1"/>
  <c r="D117" i="14" s="1"/>
  <c r="B118" i="14" s="1"/>
  <c r="C118" i="14" s="1"/>
  <c r="D118" i="14" s="1"/>
  <c r="B119" i="14" s="1"/>
  <c r="C119" i="14" s="1"/>
  <c r="D119" i="14" s="1"/>
  <c r="B120" i="14" s="1"/>
  <c r="C120" i="14" s="1"/>
  <c r="D120" i="14" s="1"/>
  <c r="B121" i="14" s="1"/>
  <c r="C121" i="14" s="1"/>
  <c r="D121" i="14" s="1"/>
  <c r="D123" i="14" s="1"/>
  <c r="F123" i="14" s="1"/>
  <c r="D138" i="14"/>
  <c r="B139" i="14" s="1"/>
  <c r="C139" i="14" s="1"/>
  <c r="D139" i="14" s="1"/>
  <c r="B140" i="14" s="1"/>
  <c r="C140" i="14" s="1"/>
  <c r="D140" i="14" s="1"/>
  <c r="B141" i="14" s="1"/>
  <c r="C141" i="14" s="1"/>
  <c r="D141" i="14" s="1"/>
  <c r="B142" i="14" s="1"/>
  <c r="C142" i="14" s="1"/>
  <c r="D142" i="14" s="1"/>
  <c r="B143" i="14" s="1"/>
  <c r="C143" i="14" s="1"/>
  <c r="D143" i="14" s="1"/>
  <c r="B144" i="14" s="1"/>
  <c r="C144" i="14" s="1"/>
  <c r="D144" i="14" s="1"/>
  <c r="B145" i="14" s="1"/>
  <c r="C145" i="14" s="1"/>
  <c r="D145" i="14" s="1"/>
  <c r="B146" i="14" s="1"/>
  <c r="C146" i="14" s="1"/>
  <c r="D146" i="14" s="1"/>
  <c r="B147" i="14" s="1"/>
  <c r="C147" i="14" s="1"/>
  <c r="D147" i="14" s="1"/>
  <c r="D149" i="14" s="1"/>
  <c r="D112" i="13"/>
  <c r="B113" i="13" s="1"/>
  <c r="C113" i="13" s="1"/>
  <c r="D113" i="13" s="1"/>
  <c r="B114" i="13" s="1"/>
  <c r="C114" i="13" s="1"/>
  <c r="D114" i="13" s="1"/>
  <c r="B115" i="13" s="1"/>
  <c r="C115" i="13" s="1"/>
  <c r="D115" i="13" s="1"/>
  <c r="B116" i="13" s="1"/>
  <c r="C116" i="13" s="1"/>
  <c r="D116" i="13" s="1"/>
  <c r="B117" i="13" s="1"/>
  <c r="C117" i="13" s="1"/>
  <c r="D117" i="13" s="1"/>
  <c r="B118" i="13" s="1"/>
  <c r="C118" i="13" s="1"/>
  <c r="D118" i="13" s="1"/>
  <c r="B119" i="13" s="1"/>
  <c r="C119" i="13" s="1"/>
  <c r="D119" i="13" s="1"/>
  <c r="B120" i="13" s="1"/>
  <c r="C120" i="13" s="1"/>
  <c r="D120" i="13" s="1"/>
  <c r="B121" i="13" s="1"/>
  <c r="C121" i="13" s="1"/>
  <c r="D121" i="13" s="1"/>
  <c r="D123" i="13" s="1"/>
  <c r="F123" i="13" s="1"/>
  <c r="D138" i="13"/>
  <c r="B139" i="13" s="1"/>
  <c r="C139" i="13" s="1"/>
  <c r="D139" i="13" s="1"/>
  <c r="B140" i="13" s="1"/>
  <c r="C140" i="13" s="1"/>
  <c r="D140" i="13" s="1"/>
  <c r="B141" i="13" s="1"/>
  <c r="C141" i="13" s="1"/>
  <c r="D141" i="13" s="1"/>
  <c r="B142" i="13" s="1"/>
  <c r="C142" i="13" s="1"/>
  <c r="D142" i="13" s="1"/>
  <c r="B143" i="13" s="1"/>
  <c r="C143" i="13" s="1"/>
  <c r="D143" i="13" s="1"/>
  <c r="B144" i="13" s="1"/>
  <c r="C144" i="13" s="1"/>
  <c r="D144" i="13" s="1"/>
  <c r="B145" i="13" s="1"/>
  <c r="C145" i="13" s="1"/>
  <c r="D145" i="13" s="1"/>
  <c r="B146" i="13" s="1"/>
  <c r="C146" i="13" s="1"/>
  <c r="D146" i="13" s="1"/>
  <c r="B147" i="13" s="1"/>
  <c r="C147" i="13" s="1"/>
  <c r="D147" i="13" s="1"/>
  <c r="D149" i="13" s="1"/>
  <c r="D112" i="11"/>
  <c r="B113" i="11" s="1"/>
  <c r="C113" i="11" s="1"/>
  <c r="D113" i="11" s="1"/>
  <c r="B114" i="11" s="1"/>
  <c r="C114" i="11" s="1"/>
  <c r="D114" i="11" s="1"/>
  <c r="B115" i="11" s="1"/>
  <c r="C115" i="11" s="1"/>
  <c r="D115" i="11" s="1"/>
  <c r="B116" i="11" s="1"/>
  <c r="C116" i="11" s="1"/>
  <c r="D116" i="11" s="1"/>
  <c r="B117" i="11" s="1"/>
  <c r="C117" i="11" s="1"/>
  <c r="D117" i="11" s="1"/>
  <c r="B118" i="11" s="1"/>
  <c r="C118" i="11" s="1"/>
  <c r="D118" i="11" s="1"/>
  <c r="B119" i="11" s="1"/>
  <c r="C119" i="11" s="1"/>
  <c r="D119" i="11" s="1"/>
  <c r="B120" i="11" s="1"/>
  <c r="C120" i="11" s="1"/>
  <c r="D120" i="11" s="1"/>
  <c r="B121" i="11" s="1"/>
  <c r="C121" i="11" s="1"/>
  <c r="D121" i="11" s="1"/>
  <c r="D123" i="11" s="1"/>
  <c r="F123" i="11" s="1"/>
  <c r="D138" i="11"/>
  <c r="B139" i="11" s="1"/>
  <c r="C139" i="11" s="1"/>
  <c r="D139" i="11" s="1"/>
  <c r="B140" i="11" s="1"/>
  <c r="C140" i="11" s="1"/>
  <c r="D140" i="11" s="1"/>
  <c r="B141" i="11" s="1"/>
  <c r="C141" i="11" s="1"/>
  <c r="D141" i="11" s="1"/>
  <c r="B142" i="11" s="1"/>
  <c r="C142" i="11" s="1"/>
  <c r="D142" i="11" s="1"/>
  <c r="B143" i="11" s="1"/>
  <c r="C143" i="11" s="1"/>
  <c r="D143" i="11" s="1"/>
  <c r="B144" i="11" s="1"/>
  <c r="C144" i="11" s="1"/>
  <c r="D144" i="11" s="1"/>
  <c r="B145" i="11" s="1"/>
  <c r="C145" i="11" s="1"/>
  <c r="D145" i="11" s="1"/>
  <c r="B146" i="11" s="1"/>
  <c r="C146" i="11" s="1"/>
  <c r="D146" i="11" s="1"/>
  <c r="B147" i="11" s="1"/>
  <c r="C147" i="11" s="1"/>
  <c r="D147" i="11" s="1"/>
  <c r="D149" i="11" s="1"/>
  <c r="D112" i="10"/>
  <c r="B113" i="10" s="1"/>
  <c r="C113" i="10" s="1"/>
  <c r="D113" i="10" s="1"/>
  <c r="B114" i="10" s="1"/>
  <c r="C114" i="10" s="1"/>
  <c r="D114" i="10" s="1"/>
  <c r="B115" i="10" s="1"/>
  <c r="C115" i="10" s="1"/>
  <c r="D115" i="10" s="1"/>
  <c r="B116" i="10" s="1"/>
  <c r="C116" i="10" s="1"/>
  <c r="D116" i="10" s="1"/>
  <c r="B117" i="10" s="1"/>
  <c r="C117" i="10" s="1"/>
  <c r="D117" i="10" s="1"/>
  <c r="B118" i="10" s="1"/>
  <c r="C118" i="10" s="1"/>
  <c r="D118" i="10" s="1"/>
  <c r="B119" i="10" s="1"/>
  <c r="C119" i="10" s="1"/>
  <c r="D119" i="10" s="1"/>
  <c r="B120" i="10" s="1"/>
  <c r="C120" i="10" s="1"/>
  <c r="D120" i="10" s="1"/>
  <c r="B121" i="10" s="1"/>
  <c r="C121" i="10" s="1"/>
  <c r="D121" i="10" s="1"/>
  <c r="D123" i="10" s="1"/>
  <c r="F123" i="10" s="1"/>
  <c r="D138" i="10"/>
  <c r="B139" i="10" s="1"/>
  <c r="C139" i="10" s="1"/>
  <c r="D139" i="10" s="1"/>
  <c r="B140" i="10" s="1"/>
  <c r="C140" i="10" s="1"/>
  <c r="D140" i="10" s="1"/>
  <c r="B141" i="10" s="1"/>
  <c r="C141" i="10" s="1"/>
  <c r="D141" i="10" s="1"/>
  <c r="B142" i="10" s="1"/>
  <c r="C142" i="10" s="1"/>
  <c r="D142" i="10" s="1"/>
  <c r="B143" i="10" s="1"/>
  <c r="C143" i="10" s="1"/>
  <c r="D143" i="10" s="1"/>
  <c r="B144" i="10" s="1"/>
  <c r="C144" i="10" s="1"/>
  <c r="D144" i="10" s="1"/>
  <c r="B145" i="10" s="1"/>
  <c r="C145" i="10" s="1"/>
  <c r="D145" i="10" s="1"/>
  <c r="B146" i="10" s="1"/>
  <c r="C146" i="10" s="1"/>
  <c r="D146" i="10" s="1"/>
  <c r="B147" i="10" s="1"/>
  <c r="C147" i="10" s="1"/>
  <c r="D147" i="10" s="1"/>
  <c r="D149" i="10" s="1"/>
  <c r="C29" i="7"/>
  <c r="C94" i="7"/>
  <c r="C33" i="7"/>
  <c r="C34" i="7" s="1"/>
  <c r="C45" i="7"/>
  <c r="C44" i="7"/>
  <c r="C40" i="7"/>
  <c r="C39" i="7"/>
  <c r="C46" i="8"/>
  <c r="C26" i="8"/>
  <c r="C31" i="8" s="1"/>
  <c r="C25" i="8"/>
  <c r="C30" i="8" s="1"/>
  <c r="C152" i="14" l="1"/>
  <c r="I12" i="9" s="1"/>
  <c r="C152" i="13"/>
  <c r="I11" i="9" s="1"/>
  <c r="C152" i="10"/>
  <c r="I8" i="9" s="1"/>
  <c r="B152" i="13"/>
  <c r="B152" i="10"/>
  <c r="C152" i="11"/>
  <c r="I9" i="9" s="1"/>
  <c r="B152" i="14"/>
  <c r="B152" i="11"/>
  <c r="C55" i="7"/>
  <c r="C58" i="7"/>
  <c r="C57" i="7"/>
  <c r="C47" i="8"/>
  <c r="C48" i="8" s="1"/>
  <c r="C32" i="8"/>
  <c r="C34" i="8" s="1"/>
  <c r="C37" i="8" l="1"/>
  <c r="C38" i="8" s="1"/>
  <c r="C35" i="7"/>
  <c r="C42" i="8" l="1"/>
  <c r="C30" i="7"/>
  <c r="C43" i="8" l="1"/>
  <c r="F8" i="8" s="1"/>
  <c r="F43" i="8"/>
  <c r="C46" i="7"/>
  <c r="C41" i="7"/>
  <c r="C51" i="7"/>
  <c r="C53" i="8" l="1"/>
  <c r="C50" i="8"/>
  <c r="I6" i="9" s="1"/>
  <c r="J15" i="9" s="1"/>
  <c r="C102" i="7"/>
  <c r="C59" i="7"/>
  <c r="C47" i="7"/>
  <c r="C79" i="7" s="1"/>
  <c r="C42" i="7"/>
  <c r="C81" i="7"/>
  <c r="C52" i="7"/>
  <c r="J13" i="9" l="1"/>
  <c r="J8" i="9"/>
  <c r="J9" i="9"/>
  <c r="J6" i="9"/>
  <c r="J12" i="9"/>
  <c r="J14" i="9"/>
  <c r="J16" i="9"/>
  <c r="J11" i="9"/>
  <c r="J10" i="9"/>
  <c r="C60" i="7"/>
  <c r="C128" i="7"/>
  <c r="C95" i="7" l="1"/>
  <c r="C73" i="7"/>
  <c r="C72" i="7"/>
  <c r="C71" i="7"/>
  <c r="C70" i="7"/>
  <c r="C69" i="7"/>
  <c r="C61" i="7"/>
  <c r="C75" i="7" l="1"/>
  <c r="C97" i="7" s="1"/>
  <c r="C126" i="7" s="1"/>
  <c r="C63" i="7"/>
  <c r="C80" i="7" l="1"/>
  <c r="C84" i="7" s="1"/>
  <c r="C85" i="7" s="1"/>
  <c r="C88" i="7" s="1"/>
  <c r="C64" i="7"/>
  <c r="C138" i="7" l="1"/>
  <c r="C112" i="7"/>
  <c r="C100" i="7"/>
  <c r="C105" i="7" s="1"/>
  <c r="C106" i="7" s="1"/>
  <c r="C131" i="7"/>
  <c r="C132" i="7" s="1"/>
  <c r="C89" i="7"/>
  <c r="C91" i="7" s="1"/>
  <c r="D138" i="7" l="1"/>
  <c r="B139" i="7" s="1"/>
  <c r="C139" i="7" s="1"/>
  <c r="D112" i="7"/>
  <c r="B113" i="7" s="1"/>
  <c r="C113" i="7" l="1"/>
  <c r="D113" i="7" s="1"/>
  <c r="B114" i="7" s="1"/>
  <c r="C114" i="7" s="1"/>
  <c r="D114" i="7" s="1"/>
  <c r="B115" i="7" s="1"/>
  <c r="D139" i="7"/>
  <c r="B140" i="7" l="1"/>
  <c r="C140" i="7" s="1"/>
  <c r="D140" i="7" s="1"/>
  <c r="C115" i="7"/>
  <c r="D115" i="7" s="1"/>
  <c r="B141" i="7" l="1"/>
  <c r="C141" i="7" s="1"/>
  <c r="D141" i="7" s="1"/>
  <c r="B142" i="7" l="1"/>
  <c r="C142" i="7" s="1"/>
  <c r="D142" i="7" s="1"/>
  <c r="B116" i="7"/>
  <c r="C116" i="7" s="1"/>
  <c r="D116" i="7" s="1"/>
  <c r="B143" i="7" l="1"/>
  <c r="C143" i="7" s="1"/>
  <c r="D143" i="7" s="1"/>
  <c r="B117" i="7"/>
  <c r="C117" i="7" s="1"/>
  <c r="B144" i="7" l="1"/>
  <c r="C144" i="7" s="1"/>
  <c r="D144" i="7" s="1"/>
  <c r="B145" i="7" s="1"/>
  <c r="C145" i="7" s="1"/>
  <c r="D145" i="7" s="1"/>
  <c r="D117" i="7"/>
  <c r="B118" i="7" s="1"/>
  <c r="C118" i="7" s="1"/>
  <c r="D118" i="7" l="1"/>
  <c r="B119" i="7" s="1"/>
  <c r="C119" i="7" s="1"/>
  <c r="B146" i="7"/>
  <c r="C146" i="7" s="1"/>
  <c r="D146" i="7" s="1"/>
  <c r="D119" i="7" l="1"/>
  <c r="B120" i="7" s="1"/>
  <c r="C120" i="7" s="1"/>
  <c r="B147" i="7"/>
  <c r="C147" i="7" s="1"/>
  <c r="D147" i="7" s="1"/>
  <c r="D149" i="7" s="1"/>
  <c r="D120" i="7" l="1"/>
  <c r="B121" i="7" s="1"/>
  <c r="C121" i="7" s="1"/>
  <c r="D121" i="7" l="1"/>
  <c r="D123" i="7" s="1"/>
  <c r="F123" i="7" s="1"/>
  <c r="C152" i="7" l="1"/>
  <c r="I7" i="9" s="1"/>
  <c r="J7" i="9" s="1"/>
  <c r="B152" i="7"/>
</calcChain>
</file>

<file path=xl/sharedStrings.xml><?xml version="1.0" encoding="utf-8"?>
<sst xmlns="http://schemas.openxmlformats.org/spreadsheetml/2006/main" count="1808" uniqueCount="198">
  <si>
    <t>Lipped Channel Section</t>
  </si>
  <si>
    <t>d</t>
  </si>
  <si>
    <t>mm</t>
  </si>
  <si>
    <t>b</t>
  </si>
  <si>
    <t>c</t>
  </si>
  <si>
    <t>t</t>
  </si>
  <si>
    <t>MPa</t>
  </si>
  <si>
    <t>Squash load</t>
  </si>
  <si>
    <t>kN</t>
  </si>
  <si>
    <t>Local buckling load</t>
  </si>
  <si>
    <t>Slenderness</t>
  </si>
  <si>
    <t>Local buckling capacity</t>
  </si>
  <si>
    <t>HF</t>
  </si>
  <si>
    <t>HF Lip</t>
  </si>
  <si>
    <t>CF Lip</t>
  </si>
  <si>
    <t>CF</t>
  </si>
  <si>
    <t>Web</t>
  </si>
  <si>
    <t>kNm</t>
  </si>
  <si>
    <t>α</t>
  </si>
  <si>
    <t>Interaction equation at mid-height</t>
  </si>
  <si>
    <t>Buckling Capacity</t>
  </si>
  <si>
    <t>Flexural buckling capacity</t>
  </si>
  <si>
    <t xml:space="preserve">Squash load </t>
  </si>
  <si>
    <t>Local buckling moment</t>
  </si>
  <si>
    <t>1. Stud Section Dimensions and Properties</t>
  </si>
  <si>
    <t xml:space="preserve">3.1. Compression Member </t>
  </si>
  <si>
    <t>Local buckling load factor at ambient temperature</t>
  </si>
  <si>
    <t>Thickness of the Stud (BMT)</t>
  </si>
  <si>
    <t>Length of the Stud</t>
  </si>
  <si>
    <t>Gross Area of the Stud Section</t>
  </si>
  <si>
    <t>Second Moment of Area about Major Axis (x-axis)</t>
  </si>
  <si>
    <t>Stud Hot Flange Temperature (HF)</t>
  </si>
  <si>
    <t>Stud Cold Flange Temperature (CF)</t>
  </si>
  <si>
    <t>Elastic Modulus</t>
  </si>
  <si>
    <t xml:space="preserve">Yield Strength </t>
  </si>
  <si>
    <t>3.2. Flexural Bember</t>
  </si>
  <si>
    <t>Mean thermal expansion coefficient</t>
  </si>
  <si>
    <t>Thermal bowing deflection</t>
  </si>
  <si>
    <t>Nmm</t>
  </si>
  <si>
    <t>Neutral axis shift about the major axis</t>
  </si>
  <si>
    <t>Eccentricity at mid-height</t>
  </si>
  <si>
    <t>Eccentricity at support</t>
  </si>
  <si>
    <t>Section moment capacity with Buckling</t>
  </si>
  <si>
    <t>Critical local buckling moment</t>
  </si>
  <si>
    <t>Section moment Capacity at mid-height</t>
  </si>
  <si>
    <t>N*</t>
  </si>
  <si>
    <t>Ultimate Capacity of the stud at elevated temperature</t>
  </si>
  <si>
    <r>
      <t xml:space="preserve">DIRECT STRENGTH METHOD (DSM) </t>
    </r>
    <r>
      <rPr>
        <b/>
        <sz val="12"/>
        <color theme="1"/>
        <rFont val="Times New Roman"/>
        <family val="1"/>
      </rPr>
      <t>- Draft AS4600 (SA, 2017)</t>
    </r>
  </si>
  <si>
    <r>
      <t>A</t>
    </r>
    <r>
      <rPr>
        <b/>
        <vertAlign val="subscript"/>
        <sz val="12"/>
        <color theme="1"/>
        <rFont val="Times New Roman"/>
        <family val="1"/>
      </rPr>
      <t>g</t>
    </r>
  </si>
  <si>
    <r>
      <t>mm</t>
    </r>
    <r>
      <rPr>
        <vertAlign val="superscript"/>
        <sz val="12"/>
        <color theme="1"/>
        <rFont val="Times New Roman"/>
        <family val="1"/>
      </rPr>
      <t>2</t>
    </r>
  </si>
  <si>
    <r>
      <t>I</t>
    </r>
    <r>
      <rPr>
        <b/>
        <vertAlign val="subscript"/>
        <sz val="12"/>
        <color theme="1"/>
        <rFont val="Times New Roman"/>
        <family val="1"/>
      </rPr>
      <t>xx</t>
    </r>
  </si>
  <si>
    <r>
      <t>mm</t>
    </r>
    <r>
      <rPr>
        <vertAlign val="superscript"/>
        <sz val="12"/>
        <color theme="1"/>
        <rFont val="Times New Roman"/>
        <family val="1"/>
      </rPr>
      <t>4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</si>
  <si>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</si>
  <si>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mm</t>
    </r>
    <r>
      <rPr>
        <vertAlign val="superscript"/>
        <sz val="12"/>
        <color theme="1"/>
        <rFont val="Times New Roman"/>
        <family val="1"/>
      </rPr>
      <t>3</t>
    </r>
  </si>
  <si>
    <r>
      <t>T</t>
    </r>
    <r>
      <rPr>
        <b/>
        <vertAlign val="subscript"/>
        <sz val="12"/>
        <color theme="1"/>
        <rFont val="Times New Roman"/>
        <family val="1"/>
      </rPr>
      <t>HF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</si>
  <si>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</si>
  <si>
    <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</si>
  <si>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T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</si>
  <si>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20</t>
    </r>
  </si>
  <si>
    <r>
      <t>f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</si>
  <si>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se,20</t>
    </r>
  </si>
  <si>
    <r>
      <t>N</t>
    </r>
    <r>
      <rPr>
        <b/>
        <vertAlign val="subscript"/>
        <sz val="12"/>
        <color theme="1"/>
        <rFont val="Times New Roman"/>
        <family val="1"/>
      </rPr>
      <t>ol,20</t>
    </r>
  </si>
  <si>
    <r>
      <t>M</t>
    </r>
    <r>
      <rPr>
        <b/>
        <vertAlign val="subscript"/>
        <sz val="12"/>
        <color theme="1"/>
        <rFont val="Times New Roman"/>
        <family val="1"/>
      </rPr>
      <t>ol,20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</si>
  <si>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</si>
  <si>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</si>
  <si>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</si>
  <si>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avg</t>
    </r>
  </si>
  <si>
    <r>
      <t>f</t>
    </r>
    <r>
      <rPr>
        <b/>
        <vertAlign val="subscript"/>
        <sz val="12"/>
        <color theme="1"/>
        <rFont val="Times New Roman"/>
        <family val="1"/>
      </rPr>
      <t>y,HF</t>
    </r>
  </si>
  <si>
    <r>
      <t>f</t>
    </r>
    <r>
      <rPr>
        <b/>
        <vertAlign val="subscript"/>
        <sz val="12"/>
        <color theme="1"/>
        <rFont val="Times New Roman"/>
        <family val="1"/>
      </rPr>
      <t>y,CF</t>
    </r>
  </si>
  <si>
    <r>
      <t>f</t>
    </r>
    <r>
      <rPr>
        <b/>
        <vertAlign val="subscript"/>
        <sz val="12"/>
        <color theme="1"/>
        <rFont val="Times New Roman"/>
        <family val="1"/>
      </rPr>
      <t>y,Web</t>
    </r>
  </si>
  <si>
    <r>
      <t>f</t>
    </r>
    <r>
      <rPr>
        <b/>
        <vertAlign val="subscript"/>
        <sz val="12"/>
        <color theme="1"/>
        <rFont val="Times New Roman"/>
        <family val="1"/>
      </rPr>
      <t>y,avg</t>
    </r>
  </si>
  <si>
    <r>
      <t>α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</si>
  <si>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r>
      <rPr>
        <vertAlign val="superscript"/>
        <sz val="12"/>
        <color theme="1"/>
        <rFont val="Times New Roman"/>
        <family val="1"/>
      </rPr>
      <t>-1</t>
    </r>
  </si>
  <si>
    <r>
      <t>e</t>
    </r>
    <r>
      <rPr>
        <b/>
        <vertAlign val="subscript"/>
        <sz val="12"/>
        <color theme="1"/>
        <rFont val="Times New Roman"/>
        <family val="1"/>
      </rPr>
      <t>∆T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</si>
  <si>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</si>
  <si>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</si>
  <si>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</si>
  <si>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Y</t>
    </r>
    <r>
      <rPr>
        <b/>
        <vertAlign val="subscript"/>
        <sz val="12"/>
        <rFont val="Times New Roman"/>
        <family val="1"/>
      </rPr>
      <t>T</t>
    </r>
  </si>
  <si>
    <r>
      <t>e</t>
    </r>
    <r>
      <rPr>
        <b/>
        <vertAlign val="subscript"/>
        <sz val="12"/>
        <color theme="1"/>
        <rFont val="Times New Roman"/>
        <family val="1"/>
      </rPr>
      <t>∆E</t>
    </r>
  </si>
  <si>
    <r>
      <t>e</t>
    </r>
    <r>
      <rPr>
        <b/>
        <vertAlign val="subscript"/>
        <sz val="12"/>
        <color theme="1"/>
        <rFont val="Times New Roman"/>
        <family val="1"/>
      </rPr>
      <t>mid-height</t>
    </r>
  </si>
  <si>
    <r>
      <t>e</t>
    </r>
    <r>
      <rPr>
        <b/>
        <vertAlign val="subscript"/>
        <sz val="12"/>
        <color theme="1"/>
        <rFont val="Times New Roman"/>
        <family val="1"/>
      </rPr>
      <t>support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</si>
  <si>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lip</t>
    </r>
  </si>
  <si>
    <r>
      <t>Nmm</t>
    </r>
    <r>
      <rPr>
        <vertAlign val="superscript"/>
        <sz val="12"/>
        <color theme="1"/>
        <rFont val="Times New Roman"/>
        <family val="1"/>
      </rPr>
      <t>2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</si>
  <si>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HF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</si>
  <si>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Lip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</si>
  <si>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</si>
  <si>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web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Web</t>
    </r>
  </si>
  <si>
    <r>
      <t>Σ(E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</si>
  <si>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theme="1"/>
        <rFont val="Times New Roman"/>
        <family val="1"/>
      </rPr>
      <t>se,T</t>
    </r>
  </si>
  <si>
    <r>
      <t>N</t>
    </r>
    <r>
      <rPr>
        <b/>
        <vertAlign val="subscript"/>
        <sz val="12"/>
        <color theme="1"/>
        <rFont val="Times New Roman"/>
        <family val="1"/>
      </rPr>
      <t>cr,T</t>
    </r>
  </si>
  <si>
    <r>
      <t>N</t>
    </r>
    <r>
      <rPr>
        <b/>
        <vertAlign val="subscript"/>
        <sz val="12"/>
        <color theme="1"/>
        <rFont val="Times New Roman"/>
        <family val="1"/>
      </rPr>
      <t>ol,T</t>
    </r>
  </si>
  <si>
    <r>
      <t>λ</t>
    </r>
    <r>
      <rPr>
        <b/>
        <vertAlign val="subscript"/>
        <sz val="12"/>
        <color theme="1"/>
        <rFont val="Times New Roman"/>
        <family val="1"/>
      </rPr>
      <t>c</t>
    </r>
  </si>
  <si>
    <r>
      <t>N</t>
    </r>
    <r>
      <rPr>
        <b/>
        <vertAlign val="subscript"/>
        <sz val="12"/>
        <color theme="1"/>
        <rFont val="Times New Roman"/>
        <family val="1"/>
      </rPr>
      <t>ce,T</t>
    </r>
  </si>
  <si>
    <r>
      <t>λ</t>
    </r>
    <r>
      <rPr>
        <b/>
        <vertAlign val="subscript"/>
        <sz val="12"/>
        <color theme="1"/>
        <rFont val="Times New Roman"/>
        <family val="1"/>
      </rPr>
      <t>l</t>
    </r>
  </si>
  <si>
    <r>
      <t>N</t>
    </r>
    <r>
      <rPr>
        <b/>
        <vertAlign val="subscript"/>
        <sz val="12"/>
        <color theme="1"/>
        <rFont val="Times New Roman"/>
        <family val="1"/>
      </rPr>
      <t>cl,T</t>
    </r>
  </si>
  <si>
    <r>
      <t>Z</t>
    </r>
    <r>
      <rPr>
        <b/>
        <vertAlign val="subscript"/>
        <sz val="12"/>
        <color theme="1"/>
        <rFont val="Times New Roman"/>
        <family val="1"/>
      </rPr>
      <t>x,T</t>
    </r>
  </si>
  <si>
    <r>
      <t>M</t>
    </r>
    <r>
      <rPr>
        <b/>
        <vertAlign val="subscript"/>
        <sz val="12"/>
        <color theme="1"/>
        <rFont val="Times New Roman"/>
        <family val="1"/>
      </rPr>
      <t>ce,mid,T</t>
    </r>
  </si>
  <si>
    <r>
      <t>M</t>
    </r>
    <r>
      <rPr>
        <b/>
        <vertAlign val="subscript"/>
        <sz val="12"/>
        <color theme="1"/>
        <rFont val="Times New Roman"/>
        <family val="1"/>
      </rPr>
      <t>0l,T</t>
    </r>
  </si>
  <si>
    <r>
      <t>M</t>
    </r>
    <r>
      <rPr>
        <b/>
        <vertAlign val="subscript"/>
        <sz val="12"/>
        <color theme="1"/>
        <rFont val="Times New Roman"/>
        <family val="1"/>
      </rPr>
      <t>x,mid,T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</si>
  <si>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mid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x,mid,T</t>
    </r>
    <r>
      <rPr>
        <b/>
        <sz val="12"/>
        <color theme="1"/>
        <rFont val="Times New Roman"/>
        <family val="1"/>
      </rPr>
      <t>=1</t>
    </r>
  </si>
  <si>
    <r>
      <t>M</t>
    </r>
    <r>
      <rPr>
        <b/>
        <vertAlign val="subscript"/>
        <sz val="12"/>
        <color theme="1"/>
        <rFont val="Times New Roman"/>
        <family val="1"/>
      </rPr>
      <t>ce,sup,T</t>
    </r>
  </si>
  <si>
    <r>
      <t>M</t>
    </r>
    <r>
      <rPr>
        <b/>
        <vertAlign val="subscript"/>
        <sz val="12"/>
        <color theme="1"/>
        <rFont val="Times New Roman"/>
        <family val="1"/>
      </rPr>
      <t>x,sup,T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</si>
  <si>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sup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x,sup,T</t>
    </r>
    <r>
      <rPr>
        <b/>
        <sz val="12"/>
        <color theme="1"/>
        <rFont val="Times New Roman"/>
        <family val="1"/>
      </rPr>
      <t>=1</t>
    </r>
  </si>
  <si>
    <t>Local buckling moment factor at ambient temperature</t>
  </si>
  <si>
    <r>
      <t>A</t>
    </r>
    <r>
      <rPr>
        <b/>
        <vertAlign val="subscript"/>
        <sz val="12"/>
        <color theme="1"/>
        <rFont val="Times New Roman"/>
        <family val="1"/>
      </rPr>
      <t>T</t>
    </r>
  </si>
  <si>
    <r>
      <t>Y</t>
    </r>
    <r>
      <rPr>
        <b/>
        <vertAlign val="subscript"/>
        <sz val="12"/>
        <color theme="1"/>
        <rFont val="Times New Roman"/>
        <family val="1"/>
      </rPr>
      <t>T</t>
    </r>
  </si>
  <si>
    <t>3. Load Factors from Elastic buckling Analysis - Compression Member</t>
  </si>
  <si>
    <t>Screw Spacing</t>
  </si>
  <si>
    <r>
      <t>L</t>
    </r>
    <r>
      <rPr>
        <b/>
        <vertAlign val="subscript"/>
        <sz val="12"/>
        <color theme="1"/>
        <rFont val="Times New Roman"/>
        <family val="1"/>
      </rPr>
      <t>y</t>
    </r>
  </si>
  <si>
    <r>
      <t>L</t>
    </r>
    <r>
      <rPr>
        <b/>
        <vertAlign val="subscript"/>
        <sz val="12"/>
        <color theme="1"/>
        <rFont val="Times New Roman"/>
        <family val="1"/>
      </rPr>
      <t>x</t>
    </r>
  </si>
  <si>
    <t>Critical Stress</t>
  </si>
  <si>
    <t>4. Section Properties</t>
  </si>
  <si>
    <r>
      <t>I</t>
    </r>
    <r>
      <rPr>
        <b/>
        <vertAlign val="subscript"/>
        <sz val="12"/>
        <color theme="1"/>
        <rFont val="Times New Roman"/>
        <family val="1"/>
      </rPr>
      <t>yy</t>
    </r>
  </si>
  <si>
    <t>Second Moment of Area about Major Axis (y-axis)</t>
  </si>
  <si>
    <t xml:space="preserve">Elastic flexural buckling stress about the major axis </t>
  </si>
  <si>
    <t xml:space="preserve">Elastic flexural buckling stress about the minor axis </t>
  </si>
  <si>
    <t>Elastic flexural buckling stress</t>
  </si>
  <si>
    <t xml:space="preserve">Elastic flexural buckling load </t>
  </si>
  <si>
    <t>N</t>
  </si>
  <si>
    <t>Nominal yeild load</t>
  </si>
  <si>
    <t>Elastic Local buckling load</t>
  </si>
  <si>
    <r>
      <t>N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</si>
  <si>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</si>
  <si>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</si>
  <si>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oy,20</t>
    </r>
  </si>
  <si>
    <r>
      <t>f</t>
    </r>
    <r>
      <rPr>
        <b/>
        <vertAlign val="subscript"/>
        <sz val="12"/>
        <rFont val="Times New Roman"/>
        <family val="1"/>
      </rPr>
      <t>ox,20</t>
    </r>
  </si>
  <si>
    <r>
      <t>Local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</si>
  <si>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Radius of gyration about major axis</t>
  </si>
  <si>
    <t>Radius of gyration about minor axis</t>
  </si>
  <si>
    <t>Mpa</t>
  </si>
  <si>
    <r>
      <t>Distortional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</si>
  <si>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 xml:space="preserve">DIRECT STRENGTH METHOD (DSM) </t>
    </r>
    <r>
      <rPr>
        <b/>
        <sz val="12"/>
        <color theme="1"/>
        <rFont val="Times New Roman"/>
        <family val="1"/>
      </rPr>
      <t>- AS4600 (SA, 2005)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</si>
  <si>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</si>
  <si>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</si>
  <si>
    <r>
      <t>N</t>
    </r>
    <r>
      <rPr>
        <b/>
        <vertAlign val="subscript"/>
        <sz val="12"/>
        <color theme="1"/>
        <rFont val="Times New Roman"/>
        <family val="1"/>
      </rPr>
      <t>od,20</t>
    </r>
  </si>
  <si>
    <r>
      <t>λ</t>
    </r>
    <r>
      <rPr>
        <b/>
        <vertAlign val="subscript"/>
        <sz val="12"/>
        <color theme="1"/>
        <rFont val="Times New Roman"/>
        <family val="1"/>
      </rPr>
      <t>d</t>
    </r>
  </si>
  <si>
    <t>Elastic distortional buckling load</t>
  </si>
  <si>
    <r>
      <t>2.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</si>
  <si>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r>
      <t>5. Flexural Buckling Capacity (N</t>
    </r>
    <r>
      <rPr>
        <b/>
        <u/>
        <vertAlign val="subscript"/>
        <sz val="12"/>
        <color theme="1"/>
        <rFont val="Times New Roman"/>
        <family val="1"/>
      </rPr>
      <t>ce</t>
    </r>
    <r>
      <rPr>
        <b/>
        <u/>
        <sz val="12"/>
        <color theme="1"/>
        <rFont val="Times New Roman"/>
        <family val="1"/>
      </rPr>
      <t>)</t>
    </r>
  </si>
  <si>
    <r>
      <t>6. Local Buckling Capacity (N</t>
    </r>
    <r>
      <rPr>
        <b/>
        <u/>
        <vertAlign val="subscript"/>
        <sz val="12"/>
        <color theme="1"/>
        <rFont val="Times New Roman"/>
        <family val="1"/>
      </rPr>
      <t>cl</t>
    </r>
    <r>
      <rPr>
        <b/>
        <u/>
        <sz val="12"/>
        <color theme="1"/>
        <rFont val="Times New Roman"/>
        <family val="1"/>
      </rPr>
      <t>)</t>
    </r>
  </si>
  <si>
    <r>
      <t>7. Distortional Buckling Capacity (N</t>
    </r>
    <r>
      <rPr>
        <b/>
        <u/>
        <vertAlign val="subscript"/>
        <sz val="12"/>
        <color theme="1"/>
        <rFont val="Times New Roman"/>
        <family val="1"/>
      </rPr>
      <t>cd</t>
    </r>
    <r>
      <rPr>
        <b/>
        <u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</si>
  <si>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rgb="FFC00000"/>
        <rFont val="Times New Roman"/>
        <family val="1"/>
      </rPr>
      <t>ce,20</t>
    </r>
  </si>
  <si>
    <r>
      <t>N</t>
    </r>
    <r>
      <rPr>
        <b/>
        <vertAlign val="subscript"/>
        <sz val="12"/>
        <color rgb="FFC00000"/>
        <rFont val="Times New Roman"/>
        <family val="1"/>
      </rPr>
      <t>cl,20</t>
    </r>
  </si>
  <si>
    <r>
      <t>N</t>
    </r>
    <r>
      <rPr>
        <b/>
        <vertAlign val="subscript"/>
        <sz val="12"/>
        <color rgb="FFC00000"/>
        <rFont val="Times New Roman"/>
        <family val="1"/>
      </rPr>
      <t>cd,20</t>
    </r>
  </si>
  <si>
    <t>Elastic Modulus at elevated temperature</t>
  </si>
  <si>
    <t>Yield Stregnth at elevated temperature</t>
  </si>
  <si>
    <t>Section Modulus at ambient temperature</t>
  </si>
  <si>
    <t>Stud mid-web temperature</t>
  </si>
  <si>
    <t>4. Section properties/stud mid-web temperature</t>
  </si>
  <si>
    <r>
      <t>5. Critical Buckling loads/moment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</si>
  <si>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Nominal Member Compression Capacity</t>
  </si>
  <si>
    <t>Ultimate Capacity of the Stud at Ambient Temperature (Nominal Value)</t>
  </si>
  <si>
    <t>Ultimate Capacity at Support</t>
  </si>
  <si>
    <t>Ultimate Capacity at Mid-height</t>
  </si>
  <si>
    <t>6. Mechanical Properties at Elevated temperature</t>
  </si>
  <si>
    <t>7. Thermal Bowing and Neutral Axis Shift</t>
  </si>
  <si>
    <t>7.1. Thermal Bowing</t>
  </si>
  <si>
    <t>7.2. Neutral Axis Shift</t>
  </si>
  <si>
    <t>8. Element stiffness about major axis (x-axis)</t>
  </si>
  <si>
    <t>9. Column capacity at elevated temperature</t>
  </si>
  <si>
    <t>9.1 Critical buckling loads</t>
  </si>
  <si>
    <t>9.3. Local buckling capacity</t>
  </si>
  <si>
    <t>9.2 Flexural buckling capacity</t>
  </si>
  <si>
    <t>10. Section Moment capacity at elevated temperature (based on mid-web temperature)</t>
  </si>
  <si>
    <t>10.1.At mid-height</t>
  </si>
  <si>
    <t>10.2. At Support</t>
  </si>
  <si>
    <t>3. Load/Moment Factors from Elastic Buckling Analysis</t>
  </si>
  <si>
    <t>Stud Web Depth (Centreline Dimension)</t>
  </si>
  <si>
    <t>Stud Flange Width (Centreline Dimension)</t>
  </si>
  <si>
    <t>Stud Lip length (Centreline Dimension)</t>
  </si>
  <si>
    <r>
      <t>3.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</si>
  <si>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4. Load/Moment Factors from Elastic Buckling Analysis</t>
  </si>
  <si>
    <t>Time</t>
  </si>
  <si>
    <t>Time (min)</t>
  </si>
  <si>
    <t>Stud Temperatures</t>
  </si>
  <si>
    <t>Load Ratio</t>
  </si>
  <si>
    <t>min</t>
  </si>
  <si>
    <t>Ref: DSM Ambient</t>
  </si>
  <si>
    <t>Ref: Sheet 1</t>
  </si>
  <si>
    <t>Ref: Sheet 2</t>
  </si>
  <si>
    <t>Ref: Sheet 3</t>
  </si>
  <si>
    <t>Ref: Sheet 4</t>
  </si>
  <si>
    <t>Ref: Sheet 5</t>
  </si>
  <si>
    <t>Ref: Sheet 6</t>
  </si>
  <si>
    <t>Ref: Sheet 7</t>
  </si>
  <si>
    <t>Ref: Sheet 8</t>
  </si>
  <si>
    <t>Ref: Sheet 9</t>
  </si>
  <si>
    <t>Ref: Sheet 10</t>
  </si>
  <si>
    <t>NOTES:</t>
  </si>
  <si>
    <r>
      <t>mm</t>
    </r>
    <r>
      <rPr>
        <b/>
        <vertAlign val="superscript"/>
        <sz val="12"/>
        <color theme="1"/>
        <rFont val="Times New Roman"/>
        <family val="1"/>
      </rPr>
      <t>2</t>
    </r>
  </si>
  <si>
    <r>
      <t>mm</t>
    </r>
    <r>
      <rPr>
        <b/>
        <vertAlign val="superscript"/>
        <sz val="12"/>
        <color theme="1"/>
        <rFont val="Times New Roman"/>
        <family val="1"/>
      </rPr>
      <t>4</t>
    </r>
  </si>
  <si>
    <t>Ultimate Axial Compression Capacity of the Stud (kN)</t>
  </si>
  <si>
    <r>
      <t>1. Stud axial compression capacity at ambient temperature (20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C) </t>
    </r>
  </si>
  <si>
    <t>-</t>
  </si>
  <si>
    <t>Input parameters</t>
  </si>
  <si>
    <t xml:space="preserve">Output </t>
  </si>
  <si>
    <t>Distortional buckling capacity</t>
  </si>
  <si>
    <t>Ultimate Capacity of the Stud at Ambient Temperature (Nominal Value) - Flexural and Local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</si>
</sst>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E+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vertAlign val="subscript"/>
      <sz val="12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3" fillId="2" borderId="0" xfId="0" applyFont="1" applyFill="1"/>
    <xf numFmtId="2" fontId="3" fillId="0" borderId="0" xfId="0" applyNumberFormat="1" applyFont="1"/>
    <xf numFmtId="2" fontId="6" fillId="0" borderId="0" xfId="0" applyNumberFormat="1" applyFont="1"/>
    <xf numFmtId="3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3" fillId="0" borderId="0" xfId="0" applyNumberFormat="1" applyFont="1"/>
    <xf numFmtId="11" fontId="3" fillId="0" borderId="0" xfId="0" applyNumberFormat="1" applyFont="1"/>
    <xf numFmtId="0" fontId="7" fillId="0" borderId="0" xfId="0" applyFont="1"/>
    <xf numFmtId="164" fontId="3" fillId="0" borderId="0" xfId="0" applyNumberFormat="1" applyFont="1"/>
    <xf numFmtId="2" fontId="7" fillId="0" borderId="0" xfId="0" applyNumberFormat="1" applyFont="1"/>
    <xf numFmtId="165" fontId="3" fillId="0" borderId="0" xfId="0" applyNumberFormat="1" applyFont="1"/>
    <xf numFmtId="2" fontId="2" fillId="4" borderId="0" xfId="0" applyNumberFormat="1" applyFont="1" applyFill="1"/>
    <xf numFmtId="2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horizontal="center"/>
    </xf>
    <xf numFmtId="0" fontId="1" fillId="5" borderId="0" xfId="0" applyFont="1" applyFill="1"/>
    <xf numFmtId="3" fontId="3" fillId="2" borderId="0" xfId="0" applyNumberFormat="1" applyFont="1" applyFill="1"/>
    <xf numFmtId="3" fontId="6" fillId="0" borderId="0" xfId="0" applyNumberFormat="1" applyFont="1"/>
    <xf numFmtId="165" fontId="3" fillId="2" borderId="0" xfId="0" applyNumberFormat="1" applyFont="1" applyFill="1"/>
    <xf numFmtId="0" fontId="9" fillId="4" borderId="0" xfId="0" applyFont="1" applyFill="1" applyAlignment="1">
      <alignment horizontal="left" vertical="center"/>
    </xf>
    <xf numFmtId="0" fontId="14" fillId="4" borderId="0" xfId="0" applyFont="1" applyFill="1"/>
    <xf numFmtId="3" fontId="14" fillId="4" borderId="0" xfId="0" applyNumberFormat="1" applyFont="1" applyFill="1"/>
    <xf numFmtId="2" fontId="9" fillId="4" borderId="0" xfId="0" applyNumberFormat="1" applyFont="1" applyFill="1" applyAlignment="1">
      <alignment horizontal="right" vertical="center"/>
    </xf>
    <xf numFmtId="4" fontId="9" fillId="4" borderId="0" xfId="0" applyNumberFormat="1" applyFont="1" applyFill="1" applyAlignment="1">
      <alignment horizontal="left" vertical="center"/>
    </xf>
    <xf numFmtId="2" fontId="14" fillId="4" borderId="0" xfId="0" applyNumberFormat="1" applyFont="1" applyFill="1"/>
    <xf numFmtId="2" fontId="13" fillId="4" borderId="0" xfId="0" applyNumberFormat="1" applyFont="1" applyFill="1"/>
    <xf numFmtId="4" fontId="9" fillId="4" borderId="0" xfId="0" applyNumberFormat="1" applyFont="1" applyFill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3" fontId="2" fillId="2" borderId="1" xfId="0" applyNumberFormat="1" applyFont="1" applyFill="1" applyBorder="1" applyAlignment="1">
      <alignment horizontal="center"/>
    </xf>
    <xf numFmtId="0" fontId="20" fillId="6" borderId="0" xfId="0" applyFont="1" applyFill="1"/>
    <xf numFmtId="3" fontId="20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/>
    <xf numFmtId="0" fontId="2" fillId="0" borderId="1" xfId="0" applyFont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2" fontId="2" fillId="2" borderId="0" xfId="0" applyNumberFormat="1" applyFont="1" applyFill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/>
    <xf numFmtId="3" fontId="0" fillId="0" borderId="0" xfId="0" applyNumberFormat="1"/>
    <xf numFmtId="0" fontId="21" fillId="8" borderId="0" xfId="0" applyFont="1" applyFill="1"/>
    <xf numFmtId="0" fontId="1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/>
    </xf>
    <xf numFmtId="2" fontId="10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248380885699"/>
          <c:y val="0.10208987123923709"/>
          <c:w val="0.7446150383836363"/>
          <c:h val="0.69722459457459662"/>
        </c:manualLayout>
      </c:layout>
      <c:scatterChart>
        <c:scatterStyle val="lineMarker"/>
        <c:varyColors val="0"/>
        <c:ser>
          <c:idx val="1"/>
          <c:order val="0"/>
          <c:tx>
            <c:v>DSM - Draft AS/NZS 4600 (2017)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'Input-Output Screen'!$F$6:$F$16</c:f>
              <c:numCache>
                <c:formatCode>#,##0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85</c:v>
                </c:pt>
                <c:pt idx="4">
                  <c:v>110</c:v>
                </c:pt>
                <c:pt idx="5">
                  <c:v>150</c:v>
                </c:pt>
                <c:pt idx="6">
                  <c:v>170</c:v>
                </c:pt>
                <c:pt idx="7">
                  <c:v>174</c:v>
                </c:pt>
                <c:pt idx="8">
                  <c:v>180</c:v>
                </c:pt>
              </c:numCache>
            </c:numRef>
          </c:xVal>
          <c:yVal>
            <c:numRef>
              <c:f>'Input-Output Screen'!$J$6:$J$16</c:f>
              <c:numCache>
                <c:formatCode>0.000</c:formatCode>
                <c:ptCount val="11"/>
                <c:pt idx="0">
                  <c:v>1</c:v>
                </c:pt>
                <c:pt idx="1">
                  <c:v>0.78764749366740194</c:v>
                </c:pt>
                <c:pt idx="2">
                  <c:v>0.59442859167009754</c:v>
                </c:pt>
                <c:pt idx="3">
                  <c:v>0.43551863244432903</c:v>
                </c:pt>
                <c:pt idx="4">
                  <c:v>0.39992623342291778</c:v>
                </c:pt>
                <c:pt idx="5">
                  <c:v>0.38983141735517912</c:v>
                </c:pt>
                <c:pt idx="6">
                  <c:v>0.36144918862335673</c:v>
                </c:pt>
                <c:pt idx="7">
                  <c:v>0.32912011256086515</c:v>
                </c:pt>
                <c:pt idx="8">
                  <c:v>0.28648375257109371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1-4266-8DC4-DEC613D9BDAA}"/>
            </c:ext>
          </c:extLst>
        </c:ser>
        <c:ser>
          <c:idx val="0"/>
          <c:order val="1"/>
          <c:tx>
            <c:v>Experiment</c:v>
          </c:tx>
          <c:xVal>
            <c:numRef>
              <c:f>'Input-Output Screen'!$R$22:$R$23</c:f>
              <c:numCache>
                <c:formatCode>General</c:formatCode>
                <c:ptCount val="2"/>
                <c:pt idx="0">
                  <c:v>0</c:v>
                </c:pt>
                <c:pt idx="1">
                  <c:v>176</c:v>
                </c:pt>
              </c:numCache>
            </c:numRef>
          </c:xVal>
          <c:yVal>
            <c:numRef>
              <c:f>'Input-Output Screen'!$S$22:$S$23</c:f>
              <c:numCache>
                <c:formatCode>General</c:formatCode>
                <c:ptCount val="2"/>
                <c:pt idx="0">
                  <c:v>0.434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5-4011-B8AA-66FEDB8A5B3D}"/>
            </c:ext>
          </c:extLst>
        </c:ser>
        <c:ser>
          <c:idx val="2"/>
          <c:order val="2"/>
          <c:xVal>
            <c:numRef>
              <c:f>'Input-Output Screen'!$R$25:$R$26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xVal>
          <c:yVal>
            <c:numRef>
              <c:f>'Input-Output Screen'!$S$25:$S$26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93-8072-E2E1BB75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9856"/>
        <c:axId val="150172416"/>
      </c:scatterChart>
      <c:valAx>
        <c:axId val="150169856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Time (min)</a:t>
                </a:r>
              </a:p>
            </c:rich>
          </c:tx>
          <c:layout>
            <c:manualLayout>
              <c:xMode val="edge"/>
              <c:yMode val="edge"/>
              <c:x val="0.76923932884899116"/>
              <c:y val="0.8626204945469103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0172416"/>
        <c:crosses val="autoZero"/>
        <c:crossBetween val="midCat"/>
        <c:majorUnit val="10"/>
      </c:valAx>
      <c:valAx>
        <c:axId val="150172416"/>
        <c:scaling>
          <c:orientation val="minMax"/>
          <c:max val="1.2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AU" sz="1200"/>
                  <a:t>Load Ratio</a:t>
                </a:r>
              </a:p>
            </c:rich>
          </c:tx>
          <c:layout>
            <c:manualLayout>
              <c:xMode val="edge"/>
              <c:yMode val="edge"/>
              <c:x val="3.9615319696931814E-2"/>
              <c:y val="0.3239413353315742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0169856"/>
        <c:crosses val="autoZero"/>
        <c:crossBetween val="midCat"/>
        <c:majorUnit val="0.1"/>
        <c:minorUnit val="0.1"/>
      </c:valAx>
    </c:plotArea>
    <c:legend>
      <c:legendPos val="b"/>
      <c:layout>
        <c:manualLayout>
          <c:xMode val="edge"/>
          <c:yMode val="edge"/>
          <c:x val="0.1623099512865368"/>
          <c:y val="0.88684739409367452"/>
          <c:w val="0.82657249661974075"/>
          <c:h val="5.387433757339505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40000"/>
            <a:lumOff val="60000"/>
          </a:schemeClr>
        </a:gs>
        <a:gs pos="100000">
          <a:schemeClr val="accent2">
            <a:lumMod val="75000"/>
          </a:schemeClr>
        </a:gs>
      </a:gsLst>
      <a:lin ang="5400000" scaled="1"/>
    </a:gradFill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39971" y="4045323"/>
    <xdr:ext cx="6286500" cy="45159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S30"/>
  <sheetViews>
    <sheetView tabSelected="1" zoomScale="85" zoomScaleNormal="85" workbookViewId="0">
      <selection activeCell="C30" sqref="C30"/>
    </sheetView>
  </sheetViews>
  <sheetFormatPr defaultRowHeight="15" x14ac:dyDescent="0.25"/>
  <cols>
    <col min="1" max="1" width="63.42578125" customWidth="1"/>
    <col min="2" max="2" width="4.7109375" bestFit="1" customWidth="1"/>
    <col min="3" max="3" width="11.28515625" bestFit="1" customWidth="1"/>
    <col min="4" max="4" width="6.42578125" customWidth="1"/>
    <col min="5" max="5" width="4.85546875" customWidth="1"/>
    <col min="6" max="6" width="13" customWidth="1"/>
    <col min="7" max="7" width="11" customWidth="1"/>
    <col min="8" max="8" width="10.85546875" customWidth="1"/>
    <col min="9" max="9" width="30.28515625" customWidth="1"/>
    <col min="10" max="10" width="10.5703125" customWidth="1"/>
    <col min="11" max="11" width="18.7109375" customWidth="1"/>
    <col min="12" max="12" width="5.42578125" customWidth="1"/>
    <col min="13" max="13" width="3.42578125" customWidth="1"/>
    <col min="15" max="15" width="3.5703125" customWidth="1"/>
  </cols>
  <sheetData>
    <row r="1" spans="1:19" ht="21" customHeight="1" x14ac:dyDescent="0.25">
      <c r="A1" s="1" t="s">
        <v>47</v>
      </c>
      <c r="B1" s="2"/>
      <c r="C1" s="3"/>
      <c r="D1" s="3"/>
      <c r="E1" s="3"/>
    </row>
    <row r="2" spans="1:19" ht="21" customHeight="1" x14ac:dyDescent="0.25">
      <c r="A2" s="2" t="s">
        <v>0</v>
      </c>
      <c r="B2" s="2"/>
      <c r="C2" s="3"/>
      <c r="D2" s="3"/>
      <c r="E2" s="3"/>
    </row>
    <row r="3" spans="1:19" ht="15.75" x14ac:dyDescent="0.25">
      <c r="A3" s="3"/>
      <c r="B3" s="2"/>
      <c r="C3" s="3"/>
      <c r="D3" s="3"/>
      <c r="E3" s="3"/>
      <c r="F3" s="57" t="s">
        <v>173</v>
      </c>
      <c r="G3" s="57" t="s">
        <v>174</v>
      </c>
      <c r="H3" s="57"/>
      <c r="I3" s="58" t="s">
        <v>191</v>
      </c>
      <c r="J3" s="58" t="s">
        <v>175</v>
      </c>
      <c r="M3" s="59" t="s">
        <v>188</v>
      </c>
      <c r="N3" s="59"/>
      <c r="O3" s="59"/>
      <c r="P3" s="59"/>
      <c r="Q3" s="59"/>
      <c r="R3" s="59"/>
      <c r="S3" s="59"/>
    </row>
    <row r="4" spans="1:19" ht="15.75" x14ac:dyDescent="0.25">
      <c r="A4" s="21" t="s">
        <v>24</v>
      </c>
      <c r="B4" s="4"/>
      <c r="C4" s="5"/>
      <c r="D4" s="5"/>
      <c r="E4" s="3"/>
      <c r="F4" s="57"/>
      <c r="G4" s="57"/>
      <c r="H4" s="57"/>
      <c r="I4" s="58"/>
      <c r="J4" s="58"/>
      <c r="M4" s="59"/>
      <c r="N4" s="59"/>
      <c r="O4" s="59"/>
      <c r="P4" s="59"/>
      <c r="Q4" s="59"/>
      <c r="R4" s="59"/>
      <c r="S4" s="59"/>
    </row>
    <row r="5" spans="1:19" ht="15.75" x14ac:dyDescent="0.25">
      <c r="A5" s="5" t="s">
        <v>167</v>
      </c>
      <c r="B5" s="4" t="s">
        <v>1</v>
      </c>
      <c r="C5" s="38">
        <v>67.05</v>
      </c>
      <c r="D5" s="4" t="s">
        <v>2</v>
      </c>
      <c r="E5" s="3"/>
      <c r="F5" s="57"/>
      <c r="G5" s="47" t="s">
        <v>12</v>
      </c>
      <c r="H5" s="47" t="s">
        <v>15</v>
      </c>
      <c r="I5" s="58"/>
      <c r="J5" s="58"/>
      <c r="M5" s="59"/>
      <c r="N5" s="59"/>
      <c r="O5" s="59"/>
      <c r="P5" s="59"/>
      <c r="Q5" s="59"/>
      <c r="R5" s="59"/>
      <c r="S5" s="59"/>
    </row>
    <row r="6" spans="1:19" ht="18.75" customHeight="1" x14ac:dyDescent="0.25">
      <c r="A6" s="5" t="s">
        <v>168</v>
      </c>
      <c r="B6" s="4" t="s">
        <v>3</v>
      </c>
      <c r="C6" s="38">
        <v>28.55</v>
      </c>
      <c r="D6" s="4" t="s">
        <v>2</v>
      </c>
      <c r="E6" s="3"/>
      <c r="F6" s="48">
        <v>0</v>
      </c>
      <c r="G6" s="48">
        <v>20</v>
      </c>
      <c r="H6" s="48">
        <v>20</v>
      </c>
      <c r="I6" s="33">
        <f>IF(G6&lt;=0,C27,'DSM-AS4600 (SA, 2005)-Ambient'!C50)</f>
        <v>17.804657778566405</v>
      </c>
      <c r="J6" s="34">
        <f>I6/$I$6</f>
        <v>1</v>
      </c>
      <c r="K6" s="45" t="s">
        <v>177</v>
      </c>
      <c r="L6" s="45"/>
      <c r="M6" s="56" t="s">
        <v>192</v>
      </c>
      <c r="N6" s="56"/>
      <c r="O6" s="56"/>
      <c r="P6" s="56"/>
      <c r="Q6" s="56"/>
      <c r="R6" s="56"/>
      <c r="S6" s="56"/>
    </row>
    <row r="7" spans="1:19" ht="18.75" customHeight="1" x14ac:dyDescent="0.25">
      <c r="A7" s="5" t="s">
        <v>169</v>
      </c>
      <c r="B7" s="4" t="s">
        <v>4</v>
      </c>
      <c r="C7" s="38">
        <v>7.5250000000000004</v>
      </c>
      <c r="D7" s="4" t="s">
        <v>2</v>
      </c>
      <c r="E7" s="3"/>
      <c r="F7" s="41">
        <v>30</v>
      </c>
      <c r="G7" s="41">
        <v>84.680167999999995</v>
      </c>
      <c r="H7" s="41">
        <v>62.937088000000003</v>
      </c>
      <c r="I7" s="35">
        <f>IF(G7&lt;=0,C27,'DSM -Temp (Sheet 1) '!C152)</f>
        <v>14.023794074893642</v>
      </c>
      <c r="J7" s="36">
        <f>I7/$I$6</f>
        <v>0.78764749366740194</v>
      </c>
      <c r="K7" s="45" t="s">
        <v>178</v>
      </c>
      <c r="L7" s="45"/>
      <c r="M7" s="49">
        <v>2</v>
      </c>
      <c r="N7" s="41"/>
      <c r="O7" t="s">
        <v>193</v>
      </c>
      <c r="P7" s="56" t="s">
        <v>194</v>
      </c>
      <c r="Q7" s="56"/>
      <c r="R7" s="56"/>
      <c r="S7" s="56"/>
    </row>
    <row r="8" spans="1:19" ht="18.75" customHeight="1" x14ac:dyDescent="0.25">
      <c r="A8" s="5" t="s">
        <v>27</v>
      </c>
      <c r="B8" s="4" t="s">
        <v>5</v>
      </c>
      <c r="C8" s="38">
        <v>0.95</v>
      </c>
      <c r="D8" s="4" t="s">
        <v>2</v>
      </c>
      <c r="E8" s="3"/>
      <c r="F8" s="41">
        <v>60</v>
      </c>
      <c r="G8" s="41">
        <v>147.55038500000001</v>
      </c>
      <c r="H8" s="41">
        <v>86.789742000000004</v>
      </c>
      <c r="I8" s="35">
        <f>IF(G8&lt;=0,C28,'DSM -Temp (Sheet 2)'!C152)</f>
        <v>10.583597648481275</v>
      </c>
      <c r="J8" s="36">
        <f>I8/$I$6</f>
        <v>0.59442859167009754</v>
      </c>
      <c r="K8" s="45" t="s">
        <v>179</v>
      </c>
      <c r="L8" s="45"/>
      <c r="M8" s="49">
        <v>3</v>
      </c>
      <c r="N8" s="35"/>
      <c r="O8" t="s">
        <v>193</v>
      </c>
      <c r="P8" s="56" t="s">
        <v>195</v>
      </c>
      <c r="Q8" s="56"/>
      <c r="R8" s="56"/>
      <c r="S8" s="56"/>
    </row>
    <row r="9" spans="1:19" ht="18.75" customHeight="1" x14ac:dyDescent="0.3">
      <c r="A9" s="5" t="s">
        <v>28</v>
      </c>
      <c r="B9" s="4" t="s">
        <v>109</v>
      </c>
      <c r="C9" s="38">
        <v>3000</v>
      </c>
      <c r="D9" s="4" t="s">
        <v>2</v>
      </c>
      <c r="E9" s="3"/>
      <c r="F9" s="41">
        <v>85</v>
      </c>
      <c r="G9" s="41">
        <v>317.86630200000002</v>
      </c>
      <c r="H9" s="41">
        <v>232.71762100000001</v>
      </c>
      <c r="I9" s="35">
        <f>IF(G9&lt;=0,C29,'DSM -Temp (Sheet 3)'!C152)</f>
        <v>7.7542602068605264</v>
      </c>
      <c r="J9" s="36">
        <f t="shared" ref="J9:J16" si="0">I9/$I$6</f>
        <v>0.43551863244432903</v>
      </c>
      <c r="K9" s="45" t="s">
        <v>180</v>
      </c>
      <c r="L9" s="45"/>
      <c r="M9" s="46"/>
    </row>
    <row r="10" spans="1:19" ht="18.75" customHeight="1" x14ac:dyDescent="0.3">
      <c r="A10" s="5" t="s">
        <v>107</v>
      </c>
      <c r="B10" s="4" t="s">
        <v>108</v>
      </c>
      <c r="C10" s="38">
        <v>1000</v>
      </c>
      <c r="D10" s="4" t="s">
        <v>2</v>
      </c>
      <c r="E10" s="3"/>
      <c r="F10" s="41">
        <v>110</v>
      </c>
      <c r="G10" s="41">
        <v>360.11895800000002</v>
      </c>
      <c r="H10" s="41">
        <v>269.85098299999999</v>
      </c>
      <c r="I10" s="35">
        <f>IF(G10&lt;=0,C30,'DSM -Temp (Sheet 4)'!C152)</f>
        <v>7.1205497227661168</v>
      </c>
      <c r="J10" s="36">
        <f t="shared" si="0"/>
        <v>0.39992623342291778</v>
      </c>
      <c r="K10" s="45" t="s">
        <v>181</v>
      </c>
      <c r="L10" s="45"/>
      <c r="M10" s="46"/>
    </row>
    <row r="11" spans="1:19" ht="18.75" customHeight="1" x14ac:dyDescent="0.3">
      <c r="A11" s="5" t="s">
        <v>29</v>
      </c>
      <c r="B11" s="4" t="s">
        <v>48</v>
      </c>
      <c r="C11" s="38">
        <v>128.07089999999999</v>
      </c>
      <c r="D11" s="4" t="s">
        <v>189</v>
      </c>
      <c r="E11" s="3"/>
      <c r="F11" s="41">
        <v>150</v>
      </c>
      <c r="G11" s="41">
        <v>415.96163899999999</v>
      </c>
      <c r="H11" s="41">
        <v>350.82693499999999</v>
      </c>
      <c r="I11" s="35">
        <f>IF(G11&lt;=0,C31,'DSM -Temp (Sheet 5)'!C152)</f>
        <v>6.9408149773424563</v>
      </c>
      <c r="J11" s="36">
        <f t="shared" si="0"/>
        <v>0.38983141735517912</v>
      </c>
      <c r="K11" s="45" t="s">
        <v>182</v>
      </c>
      <c r="L11" s="45"/>
      <c r="M11" s="46"/>
      <c r="Q11" s="54">
        <f>G9-H9</f>
        <v>85.14868100000001</v>
      </c>
    </row>
    <row r="12" spans="1:19" ht="18.75" customHeight="1" x14ac:dyDescent="0.3">
      <c r="A12" s="5" t="s">
        <v>30</v>
      </c>
      <c r="B12" s="4" t="s">
        <v>50</v>
      </c>
      <c r="C12" s="39">
        <v>92565</v>
      </c>
      <c r="D12" s="4" t="s">
        <v>190</v>
      </c>
      <c r="E12" s="3"/>
      <c r="F12" s="41">
        <v>170</v>
      </c>
      <c r="G12" s="41">
        <v>453.06225599999999</v>
      </c>
      <c r="H12" s="41">
        <v>392.67617799999999</v>
      </c>
      <c r="I12" s="35">
        <f>IF(G12&lt;=0,C32,'DSM -Temp (Sheet 6)'!C152)</f>
        <v>6.435479107779364</v>
      </c>
      <c r="J12" s="36">
        <f t="shared" si="0"/>
        <v>0.36144918862335673</v>
      </c>
      <c r="K12" s="45" t="s">
        <v>183</v>
      </c>
      <c r="L12" s="45"/>
      <c r="M12" s="46"/>
      <c r="Q12" s="54">
        <f>G10-H10</f>
        <v>90.267975000000035</v>
      </c>
    </row>
    <row r="13" spans="1:19" ht="18.75" customHeight="1" x14ac:dyDescent="0.3">
      <c r="A13" s="5" t="s">
        <v>113</v>
      </c>
      <c r="B13" s="4" t="s">
        <v>112</v>
      </c>
      <c r="C13" s="39">
        <v>14687</v>
      </c>
      <c r="D13" s="4" t="s">
        <v>190</v>
      </c>
      <c r="E13" s="3"/>
      <c r="F13" s="41">
        <v>174</v>
      </c>
      <c r="G13" s="41">
        <v>476</v>
      </c>
      <c r="H13" s="41">
        <v>405</v>
      </c>
      <c r="I13" s="35">
        <f>IF(G12&lt;=0,C32,'DSM -Temp (Sheet 7)'!C152)</f>
        <v>5.8598709721894586</v>
      </c>
      <c r="J13" s="36">
        <f>I13/$I$6</f>
        <v>0.32912011256086515</v>
      </c>
      <c r="K13" s="45" t="s">
        <v>184</v>
      </c>
      <c r="L13" s="45"/>
      <c r="M13" s="46"/>
    </row>
    <row r="14" spans="1:19" ht="18.75" customHeight="1" x14ac:dyDescent="0.25">
      <c r="A14" s="5"/>
      <c r="B14" s="4"/>
      <c r="C14" s="5"/>
      <c r="D14" s="4"/>
      <c r="E14" s="3"/>
      <c r="F14" s="41">
        <v>180</v>
      </c>
      <c r="G14" s="41">
        <v>510.65557776590549</v>
      </c>
      <c r="H14" s="41">
        <v>424.61038698585736</v>
      </c>
      <c r="I14" s="35">
        <f>IF(G12&lt;=0,C32,'DSM -Temp (Sheet 8)'!C152)</f>
        <v>5.1007451736478169</v>
      </c>
      <c r="J14" s="36">
        <f>I14/$I$6</f>
        <v>0.28648375257109371</v>
      </c>
      <c r="K14" s="45" t="s">
        <v>185</v>
      </c>
      <c r="L14" s="45"/>
      <c r="M14" s="46"/>
    </row>
    <row r="15" spans="1:19" ht="18.75" customHeight="1" x14ac:dyDescent="0.25">
      <c r="A15" s="21" t="s">
        <v>170</v>
      </c>
      <c r="B15" s="4"/>
      <c r="C15" s="5"/>
      <c r="D15" s="4"/>
      <c r="E15" s="3"/>
      <c r="F15" s="41"/>
      <c r="G15" s="41"/>
      <c r="H15" s="41"/>
      <c r="I15" s="35" t="str">
        <f>IF(G15&lt;=0,C27,#REF!)</f>
        <v>-</v>
      </c>
      <c r="J15" s="36" t="e">
        <f t="shared" si="0"/>
        <v>#VALUE!</v>
      </c>
      <c r="K15" s="45" t="s">
        <v>186</v>
      </c>
      <c r="L15" s="45"/>
      <c r="M15" s="46"/>
    </row>
    <row r="16" spans="1:19" ht="18.75" customHeight="1" x14ac:dyDescent="0.3">
      <c r="A16" s="5" t="s">
        <v>33</v>
      </c>
      <c r="B16" s="4" t="s">
        <v>58</v>
      </c>
      <c r="C16" s="39">
        <v>200000</v>
      </c>
      <c r="D16" s="4" t="s">
        <v>6</v>
      </c>
      <c r="E16" s="3"/>
      <c r="F16" s="41"/>
      <c r="G16" s="41"/>
      <c r="H16" s="41"/>
      <c r="I16" s="35" t="str">
        <f>IF(G16&lt;=0,C27,#REF!)</f>
        <v>-</v>
      </c>
      <c r="J16" s="36" t="e">
        <f t="shared" si="0"/>
        <v>#VALUE!</v>
      </c>
      <c r="K16" s="45" t="s">
        <v>187</v>
      </c>
      <c r="L16" s="45"/>
      <c r="M16" s="46"/>
    </row>
    <row r="17" spans="1:19" ht="18.75" customHeight="1" x14ac:dyDescent="0.3">
      <c r="A17" s="5" t="s">
        <v>34</v>
      </c>
      <c r="B17" s="4" t="s">
        <v>59</v>
      </c>
      <c r="C17" s="38">
        <v>617.5</v>
      </c>
      <c r="D17" s="4" t="s">
        <v>6</v>
      </c>
      <c r="E17" s="3"/>
    </row>
    <row r="18" spans="1:19" ht="18.75" customHeight="1" x14ac:dyDescent="0.25">
      <c r="A18" s="5"/>
      <c r="B18" s="4"/>
      <c r="C18" s="5"/>
      <c r="D18" s="5"/>
      <c r="E18" s="3"/>
    </row>
    <row r="19" spans="1:19" ht="18.75" customHeight="1" x14ac:dyDescent="0.25">
      <c r="A19" s="21" t="s">
        <v>171</v>
      </c>
      <c r="B19" s="4"/>
      <c r="C19" s="5"/>
      <c r="D19" s="5"/>
      <c r="E19" s="3"/>
    </row>
    <row r="20" spans="1:19" ht="18.75" customHeight="1" x14ac:dyDescent="0.25">
      <c r="A20" s="4" t="s">
        <v>25</v>
      </c>
      <c r="B20" s="4"/>
      <c r="C20" s="5"/>
      <c r="D20" s="5"/>
      <c r="E20" s="3"/>
    </row>
    <row r="21" spans="1:19" ht="18.75" customHeight="1" x14ac:dyDescent="0.25">
      <c r="A21" s="5" t="s">
        <v>26</v>
      </c>
      <c r="B21" s="4"/>
      <c r="C21" s="50">
        <v>0.44588</v>
      </c>
      <c r="D21" s="5"/>
      <c r="E21" s="3"/>
    </row>
    <row r="22" spans="1:19" ht="18.75" customHeight="1" x14ac:dyDescent="0.25">
      <c r="A22" s="5" t="s">
        <v>130</v>
      </c>
      <c r="B22" s="4"/>
      <c r="C22" s="50">
        <v>0.60390999999999995</v>
      </c>
      <c r="D22" s="5"/>
      <c r="E22" s="3"/>
      <c r="R22">
        <v>0</v>
      </c>
      <c r="S22">
        <v>0.434</v>
      </c>
    </row>
    <row r="23" spans="1:19" ht="18.75" customHeight="1" x14ac:dyDescent="0.25">
      <c r="A23" s="5"/>
      <c r="B23" s="4"/>
      <c r="C23" s="5"/>
      <c r="D23" s="5"/>
      <c r="E23" s="3"/>
      <c r="R23">
        <v>176</v>
      </c>
      <c r="S23">
        <v>0.434</v>
      </c>
    </row>
    <row r="24" spans="1:19" ht="18.75" customHeight="1" x14ac:dyDescent="0.25">
      <c r="A24" s="4" t="s">
        <v>35</v>
      </c>
      <c r="B24" s="4"/>
      <c r="C24" s="5"/>
      <c r="D24" s="5"/>
      <c r="E24" s="3"/>
    </row>
    <row r="25" spans="1:19" ht="18.75" customHeight="1" x14ac:dyDescent="0.25">
      <c r="A25" s="5" t="s">
        <v>103</v>
      </c>
      <c r="B25" s="4"/>
      <c r="C25" s="40">
        <v>0.30601</v>
      </c>
      <c r="D25" s="5"/>
      <c r="E25" s="3"/>
      <c r="R25">
        <v>176</v>
      </c>
      <c r="S25">
        <v>0</v>
      </c>
    </row>
    <row r="26" spans="1:19" ht="18.75" customHeight="1" x14ac:dyDescent="0.25">
      <c r="A26" s="5"/>
      <c r="B26" s="4"/>
      <c r="C26" s="4"/>
      <c r="D26" s="5"/>
      <c r="E26" s="3"/>
      <c r="R26">
        <v>176</v>
      </c>
      <c r="S26">
        <v>1</v>
      </c>
    </row>
    <row r="27" spans="1:19" x14ac:dyDescent="0.25">
      <c r="C27" s="37" t="s">
        <v>193</v>
      </c>
    </row>
    <row r="30" spans="1:19" x14ac:dyDescent="0.25">
      <c r="R30" s="55">
        <v>0.4</v>
      </c>
      <c r="S30" s="55">
        <v>174.4</v>
      </c>
    </row>
  </sheetData>
  <mergeCells count="8">
    <mergeCell ref="M6:S6"/>
    <mergeCell ref="P7:S7"/>
    <mergeCell ref="P8:S8"/>
    <mergeCell ref="F3:F5"/>
    <mergeCell ref="G3:H4"/>
    <mergeCell ref="I3:I5"/>
    <mergeCell ref="J3:J5"/>
    <mergeCell ref="M3:S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Screen'!F13</f>
        <v>174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Screen'!G13</f>
        <v>476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Screen'!H13</f>
        <v>405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440.5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95500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114670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105085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108505.83856285855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227.41602029930263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290.13382826710904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257.53775671311098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266.58352136133209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1.3107445897740785E-5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15.614574811067042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2568679.9140625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51879748.546718746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208534690.87874997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224404676.17593747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35.072851858916955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1.5478518589169568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14.066722952150085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1.5478518589169568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672503910.88792872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3186411076.0577359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656441372.36205518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3180467262.6889992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2523759210.9574523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10219582832.95417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34.141591505915024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11.207026633935747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18.527471281793591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1.7454068613718896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9.8285623579616512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0.72834463294166341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9.8285623579616512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9.8285623579616512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35.072851858916955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2685.3999691493109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691591.88393217092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274133.00871824077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1.5883429426022768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428153.08538226801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7429.4920500376656</v>
      </c>
    </row>
    <row r="113" spans="1:6" x14ac:dyDescent="0.25">
      <c r="A113" s="3">
        <v>2</v>
      </c>
      <c r="B113" s="18">
        <f>D112/1000</f>
        <v>7.4294920500376653</v>
      </c>
      <c r="C113" s="16">
        <f>(1-B113/$C$80)</f>
        <v>0.33706840425090223</v>
      </c>
      <c r="D113" s="11">
        <f t="shared" si="1"/>
        <v>5019.6930764179697</v>
      </c>
    </row>
    <row r="114" spans="1:6" x14ac:dyDescent="0.25">
      <c r="A114" s="3">
        <v>3</v>
      </c>
      <c r="B114" s="18">
        <f>D113/1000</f>
        <v>5.0196930764179699</v>
      </c>
      <c r="C114" s="16">
        <f t="shared" si="0"/>
        <v>0.55209412448276429</v>
      </c>
      <c r="D114" s="11">
        <f t="shared" si="1"/>
        <v>6201.4343725585395</v>
      </c>
    </row>
    <row r="115" spans="1:6" x14ac:dyDescent="0.25">
      <c r="A115" s="3">
        <v>4</v>
      </c>
      <c r="B115" s="18">
        <f t="shared" ref="B115:B121" si="2">D114/1000</f>
        <v>6.2014343725585395</v>
      </c>
      <c r="C115" s="16">
        <f t="shared" si="0"/>
        <v>0.44664766354885654</v>
      </c>
      <c r="D115" s="11">
        <f t="shared" si="1"/>
        <v>5704.4385580974422</v>
      </c>
    </row>
    <row r="116" spans="1:6" x14ac:dyDescent="0.25">
      <c r="A116" s="3">
        <v>5</v>
      </c>
      <c r="B116" s="18">
        <f t="shared" si="2"/>
        <v>5.7044385580974426</v>
      </c>
      <c r="C116" s="16">
        <f t="shared" si="0"/>
        <v>0.49099446762944599</v>
      </c>
      <c r="D116" s="11">
        <f t="shared" si="1"/>
        <v>5929.1471367213044</v>
      </c>
    </row>
    <row r="117" spans="1:6" x14ac:dyDescent="0.25">
      <c r="A117" s="3">
        <v>6</v>
      </c>
      <c r="B117" s="18">
        <f t="shared" si="2"/>
        <v>5.929147136721304</v>
      </c>
      <c r="C117" s="16">
        <f t="shared" si="0"/>
        <v>0.47094378104113843</v>
      </c>
      <c r="D117" s="11">
        <f t="shared" si="1"/>
        <v>5830.6582441651553</v>
      </c>
    </row>
    <row r="118" spans="1:6" x14ac:dyDescent="0.25">
      <c r="A118" s="3">
        <v>7</v>
      </c>
      <c r="B118" s="18">
        <f t="shared" si="2"/>
        <v>5.8306582441651553</v>
      </c>
      <c r="C118" s="16">
        <f t="shared" si="0"/>
        <v>0.47973191867774556</v>
      </c>
      <c r="D118" s="11">
        <f t="shared" si="1"/>
        <v>5874.4312567902298</v>
      </c>
    </row>
    <row r="119" spans="1:6" x14ac:dyDescent="0.25">
      <c r="A119" s="3">
        <v>8</v>
      </c>
      <c r="B119" s="18">
        <f t="shared" si="2"/>
        <v>5.8744312567902295</v>
      </c>
      <c r="C119" s="16">
        <f t="shared" si="0"/>
        <v>0.47582606442622388</v>
      </c>
      <c r="D119" s="11">
        <f t="shared" si="1"/>
        <v>5855.0954254077205</v>
      </c>
    </row>
    <row r="120" spans="1:6" x14ac:dyDescent="0.25">
      <c r="A120" s="3">
        <v>9</v>
      </c>
      <c r="B120" s="18">
        <f t="shared" si="2"/>
        <v>5.8550954254077201</v>
      </c>
      <c r="C120" s="16">
        <f t="shared" si="0"/>
        <v>0.47755139550770442</v>
      </c>
      <c r="D120" s="11">
        <f t="shared" si="1"/>
        <v>5863.6598996195144</v>
      </c>
    </row>
    <row r="121" spans="1:6" x14ac:dyDescent="0.25">
      <c r="A121" s="3">
        <v>10</v>
      </c>
      <c r="B121" s="18">
        <f t="shared" si="2"/>
        <v>5.8636598996195142</v>
      </c>
      <c r="C121" s="16">
        <f t="shared" si="0"/>
        <v>0.47678718975612167</v>
      </c>
      <c r="D121" s="11">
        <f t="shared" si="1"/>
        <v>5859.8709721894584</v>
      </c>
    </row>
    <row r="123" spans="1:6" x14ac:dyDescent="0.25">
      <c r="A123" s="30" t="s">
        <v>153</v>
      </c>
      <c r="B123" s="30"/>
      <c r="C123" s="31"/>
      <c r="D123" s="30">
        <f>D121/1000</f>
        <v>5.8598709721894586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610702.97389580635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274133.00871824077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1.492568772564508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395020.17262856412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9464.0783782682593</v>
      </c>
    </row>
    <row r="139" spans="1:4" x14ac:dyDescent="0.25">
      <c r="A139" s="3">
        <v>2</v>
      </c>
      <c r="B139" s="18">
        <f>D138/1000</f>
        <v>9.46407837826826</v>
      </c>
      <c r="C139" s="16">
        <f t="shared" si="3"/>
        <v>0.15552280837717514</v>
      </c>
      <c r="D139" s="11">
        <f t="shared" si="4"/>
        <v>7877.7762018972144</v>
      </c>
    </row>
    <row r="140" spans="1:4" x14ac:dyDescent="0.25">
      <c r="A140" s="3">
        <v>3</v>
      </c>
      <c r="B140" s="18">
        <f>D139/1000</f>
        <v>7.8777762018972144</v>
      </c>
      <c r="C140" s="16">
        <f t="shared" si="3"/>
        <v>0.2970681288431406</v>
      </c>
      <c r="D140" s="11">
        <f t="shared" si="4"/>
        <v>8700.6031003836179</v>
      </c>
    </row>
    <row r="141" spans="1:4" x14ac:dyDescent="0.25">
      <c r="A141" s="3">
        <v>4</v>
      </c>
      <c r="B141" s="18">
        <f>D140/1000</f>
        <v>8.7006031003836171</v>
      </c>
      <c r="C141" s="16">
        <f t="shared" si="3"/>
        <v>0.22364750396527877</v>
      </c>
      <c r="D141" s="11">
        <f t="shared" si="4"/>
        <v>8384.70625508175</v>
      </c>
    </row>
    <row r="142" spans="1:4" x14ac:dyDescent="0.25">
      <c r="A142" s="3">
        <v>5</v>
      </c>
      <c r="B142" s="18">
        <f>D141/1000</f>
        <v>8.3847062550817508</v>
      </c>
      <c r="C142" s="16">
        <f t="shared" si="3"/>
        <v>0.25183489528862113</v>
      </c>
      <c r="D142" s="11">
        <f t="shared" si="4"/>
        <v>8524.8781921354403</v>
      </c>
    </row>
    <row r="143" spans="1:4" x14ac:dyDescent="0.25">
      <c r="A143" s="3">
        <v>6</v>
      </c>
      <c r="B143" s="18">
        <f>D142/1000</f>
        <v>8.5248781921354411</v>
      </c>
      <c r="C143" s="16">
        <f t="shared" si="3"/>
        <v>0.23932739069955922</v>
      </c>
      <c r="D143" s="11">
        <f t="shared" si="4"/>
        <v>8466.190276774998</v>
      </c>
    </row>
    <row r="144" spans="1:4" ht="18.75" customHeight="1" x14ac:dyDescent="0.25">
      <c r="A144" s="3">
        <v>7</v>
      </c>
      <c r="B144" s="18">
        <f t="shared" ref="B144:B147" si="5">D143/1000</f>
        <v>8.4661902767749986</v>
      </c>
      <c r="C144" s="16">
        <f t="shared" si="3"/>
        <v>0.24456409774750454</v>
      </c>
      <c r="D144" s="11">
        <f t="shared" si="4"/>
        <v>8491.393162148097</v>
      </c>
    </row>
    <row r="145" spans="1:5" x14ac:dyDescent="0.25">
      <c r="A145" s="3">
        <v>8</v>
      </c>
      <c r="B145" s="18">
        <f t="shared" si="5"/>
        <v>8.4913931621480963</v>
      </c>
      <c r="C145" s="16">
        <f t="shared" si="3"/>
        <v>0.24231525100194751</v>
      </c>
      <c r="D145" s="11">
        <f t="shared" si="4"/>
        <v>8480.685210037409</v>
      </c>
    </row>
    <row r="146" spans="1:5" x14ac:dyDescent="0.25">
      <c r="A146" s="3">
        <v>9</v>
      </c>
      <c r="B146" s="18">
        <f t="shared" si="5"/>
        <v>8.480685210037409</v>
      </c>
      <c r="C146" s="16">
        <f t="shared" si="3"/>
        <v>0.24327071871523576</v>
      </c>
      <c r="D146" s="11">
        <f t="shared" si="4"/>
        <v>8485.2555806533273</v>
      </c>
    </row>
    <row r="147" spans="1:5" x14ac:dyDescent="0.25">
      <c r="A147" s="3">
        <v>10</v>
      </c>
      <c r="B147" s="18">
        <f t="shared" si="5"/>
        <v>8.4852555806533267</v>
      </c>
      <c r="C147" s="16">
        <f t="shared" si="3"/>
        <v>0.24286290576312952</v>
      </c>
      <c r="D147" s="11">
        <f t="shared" si="4"/>
        <v>8483.30865079861</v>
      </c>
    </row>
    <row r="149" spans="1:5" x14ac:dyDescent="0.25">
      <c r="A149" s="30" t="s">
        <v>152</v>
      </c>
      <c r="B149" s="30"/>
      <c r="C149" s="31"/>
      <c r="D149" s="30">
        <f>D147/1000</f>
        <v>8.4833086507986106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5.8598709721894586</v>
      </c>
      <c r="C152" s="28">
        <f>IF(F123=TRUE,D149,MIN(D149,D123))</f>
        <v>5.8598709721894586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3"/>
  <sheetViews>
    <sheetView zoomScale="85" zoomScaleNormal="85" workbookViewId="0">
      <selection activeCell="O32" sqref="O3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Screen'!F14</f>
        <v>180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Screen'!G14</f>
        <v>510.65557776590549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Screen'!H14</f>
        <v>424.61038698585736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467.6329823758814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86142.994003205531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109375.19551381853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97759.09475851203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100941.45267086927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200.0596144469998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271.79749642992886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234.31255993078548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242.80501891789743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1.3250804050834553E-5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19.130334941998218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2317002.915531314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49484238.602120049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198905752.03869355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208760508.1842002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35.541420961206981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2.0164209612069826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17.113913980791235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2.0164209612069826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624817089.60295272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2951515787.3540382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605628206.94031405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2945364816.40868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2358217411.7670631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9485543312.0730476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31.096257297332148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10.402062224395541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17.235845464837706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1.7289973867102397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9.1226085707948901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0.72751713162049592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9.1226085707948901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9.1226085707948901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35.541420961206981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2643.9782234090821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619517.30592823226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255022.07523169342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1.5586113467995251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388689.34882707347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6508.401082961911</v>
      </c>
    </row>
    <row r="113" spans="1:6" x14ac:dyDescent="0.25">
      <c r="A113" s="3">
        <v>2</v>
      </c>
      <c r="B113" s="18">
        <f>D112/1000</f>
        <v>6.5084010829619112</v>
      </c>
      <c r="C113" s="16">
        <f>(1-B113/$C$80)</f>
        <v>0.37431627089309094</v>
      </c>
      <c r="D113" s="11">
        <f t="shared" si="1"/>
        <v>4400.536204344754</v>
      </c>
    </row>
    <row r="114" spans="1:6" x14ac:dyDescent="0.25">
      <c r="A114" s="3">
        <v>3</v>
      </c>
      <c r="B114" s="18">
        <f>D113/1000</f>
        <v>4.4005362043447542</v>
      </c>
      <c r="C114" s="16">
        <f t="shared" si="0"/>
        <v>0.57695540466732143</v>
      </c>
      <c r="D114" s="11">
        <f t="shared" si="1"/>
        <v>5378.3158029505057</v>
      </c>
    </row>
    <row r="115" spans="1:6" x14ac:dyDescent="0.25">
      <c r="A115" s="3">
        <v>4</v>
      </c>
      <c r="B115" s="18">
        <f t="shared" ref="B115:B121" si="2">D114/1000</f>
        <v>5.3783158029505058</v>
      </c>
      <c r="C115" s="16">
        <f t="shared" si="0"/>
        <v>0.48295677463484532</v>
      </c>
      <c r="D115" s="11">
        <f t="shared" si="1"/>
        <v>4980.4534003370509</v>
      </c>
    </row>
    <row r="116" spans="1:6" x14ac:dyDescent="0.25">
      <c r="A116" s="3">
        <v>5</v>
      </c>
      <c r="B116" s="18">
        <f t="shared" si="2"/>
        <v>4.9804534003370513</v>
      </c>
      <c r="C116" s="16">
        <f t="shared" si="0"/>
        <v>0.52120519057686532</v>
      </c>
      <c r="D116" s="11">
        <f t="shared" si="1"/>
        <v>5152.1249926724504</v>
      </c>
    </row>
    <row r="117" spans="1:6" x14ac:dyDescent="0.25">
      <c r="A117" s="3">
        <v>6</v>
      </c>
      <c r="B117" s="18">
        <f t="shared" si="2"/>
        <v>5.1521249926724506</v>
      </c>
      <c r="C117" s="16">
        <f t="shared" si="0"/>
        <v>0.50470157921288172</v>
      </c>
      <c r="D117" s="11">
        <f t="shared" si="1"/>
        <v>5079.8284164033194</v>
      </c>
    </row>
    <row r="118" spans="1:6" x14ac:dyDescent="0.25">
      <c r="A118" s="3">
        <v>7</v>
      </c>
      <c r="B118" s="18">
        <f t="shared" si="2"/>
        <v>5.0798284164033189</v>
      </c>
      <c r="C118" s="16">
        <f t="shared" si="0"/>
        <v>0.51165179492103019</v>
      </c>
      <c r="D118" s="11">
        <f t="shared" si="1"/>
        <v>5110.5933649303242</v>
      </c>
    </row>
    <row r="119" spans="1:6" x14ac:dyDescent="0.25">
      <c r="A119" s="3">
        <v>8</v>
      </c>
      <c r="B119" s="18">
        <f t="shared" si="2"/>
        <v>5.1105933649303239</v>
      </c>
      <c r="C119" s="16">
        <f t="shared" si="0"/>
        <v>0.50869421325468966</v>
      </c>
      <c r="D119" s="11">
        <f t="shared" si="1"/>
        <v>5097.5591238492461</v>
      </c>
    </row>
    <row r="120" spans="1:6" x14ac:dyDescent="0.25">
      <c r="A120" s="3">
        <v>9</v>
      </c>
      <c r="B120" s="18">
        <f t="shared" si="2"/>
        <v>5.0975591238492459</v>
      </c>
      <c r="C120" s="16">
        <f t="shared" si="0"/>
        <v>0.5099472571992365</v>
      </c>
      <c r="D120" s="11">
        <f t="shared" si="1"/>
        <v>5103.0916897111665</v>
      </c>
    </row>
    <row r="121" spans="1:6" x14ac:dyDescent="0.25">
      <c r="A121" s="3">
        <v>10</v>
      </c>
      <c r="B121" s="18">
        <f t="shared" si="2"/>
        <v>5.1030916897111664</v>
      </c>
      <c r="C121" s="16">
        <f t="shared" si="0"/>
        <v>0.50941538517784579</v>
      </c>
      <c r="D121" s="11">
        <f t="shared" si="1"/>
        <v>5100.745173647817</v>
      </c>
    </row>
    <row r="123" spans="1:6" x14ac:dyDescent="0.25">
      <c r="A123" s="30" t="s">
        <v>153</v>
      </c>
      <c r="B123" s="30"/>
      <c r="C123" s="31"/>
      <c r="D123" s="30">
        <f>D121/1000</f>
        <v>5.1007451736478169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528953.26398148446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255022.07523169342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1.4401899067403947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350814.16492239147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8668.0950685942789</v>
      </c>
    </row>
    <row r="139" spans="1:4" x14ac:dyDescent="0.25">
      <c r="A139" s="3">
        <v>2</v>
      </c>
      <c r="B139" s="18">
        <f>D138/1000</f>
        <v>8.6680950685942797</v>
      </c>
      <c r="C139" s="16">
        <f t="shared" si="3"/>
        <v>0.16669455713643566</v>
      </c>
      <c r="D139" s="11">
        <f t="shared" si="4"/>
        <v>6939.6737917291612</v>
      </c>
    </row>
    <row r="140" spans="1:4" x14ac:dyDescent="0.25">
      <c r="A140" s="3">
        <v>3</v>
      </c>
      <c r="B140" s="18">
        <f>D139/1000</f>
        <v>6.9396737917291613</v>
      </c>
      <c r="C140" s="16">
        <f t="shared" si="3"/>
        <v>0.33285596240197246</v>
      </c>
      <c r="D140" s="11">
        <f t="shared" si="4"/>
        <v>7881.0903716278917</v>
      </c>
    </row>
    <row r="141" spans="1:4" x14ac:dyDescent="0.25">
      <c r="A141" s="3">
        <v>4</v>
      </c>
      <c r="B141" s="18">
        <f>D140/1000</f>
        <v>7.8810903716278915</v>
      </c>
      <c r="C141" s="16">
        <f t="shared" si="3"/>
        <v>0.24235308330066663</v>
      </c>
      <c r="D141" s="11">
        <f t="shared" si="4"/>
        <v>7499.9322018805597</v>
      </c>
    </row>
    <row r="142" spans="1:4" x14ac:dyDescent="0.25">
      <c r="A142" s="3">
        <v>5</v>
      </c>
      <c r="B142" s="18">
        <f>D141/1000</f>
        <v>7.4999322018805596</v>
      </c>
      <c r="C142" s="16">
        <f t="shared" si="3"/>
        <v>0.27899564143240096</v>
      </c>
      <c r="D142" s="11">
        <f t="shared" si="4"/>
        <v>7679.3331553490843</v>
      </c>
    </row>
    <row r="143" spans="1:4" x14ac:dyDescent="0.25">
      <c r="A143" s="3">
        <v>6</v>
      </c>
      <c r="B143" s="18">
        <f>D142/1000</f>
        <v>7.6793331553490844</v>
      </c>
      <c r="C143" s="16">
        <f t="shared" si="3"/>
        <v>0.26174896960921357</v>
      </c>
      <c r="D143" s="11">
        <f t="shared" si="4"/>
        <v>7600.1067079753147</v>
      </c>
    </row>
    <row r="144" spans="1:4" ht="18.75" customHeight="1" x14ac:dyDescent="0.25">
      <c r="A144" s="3">
        <v>7</v>
      </c>
      <c r="B144" s="18">
        <f t="shared" ref="B144:B147" si="5">D143/1000</f>
        <v>7.6001067079753151</v>
      </c>
      <c r="C144" s="16">
        <f t="shared" si="3"/>
        <v>0.26936538697575874</v>
      </c>
      <c r="D144" s="11">
        <f t="shared" si="4"/>
        <v>7636.1414737627392</v>
      </c>
    </row>
    <row r="145" spans="1:5" x14ac:dyDescent="0.25">
      <c r="A145" s="3">
        <v>8</v>
      </c>
      <c r="B145" s="18">
        <f t="shared" si="5"/>
        <v>7.6361414737627396</v>
      </c>
      <c r="C145" s="16">
        <f t="shared" si="3"/>
        <v>0.26590119256795042</v>
      </c>
      <c r="D145" s="11">
        <f t="shared" si="4"/>
        <v>7619.9654701857371</v>
      </c>
    </row>
    <row r="146" spans="1:5" x14ac:dyDescent="0.25">
      <c r="A146" s="3">
        <v>9</v>
      </c>
      <c r="B146" s="18">
        <f t="shared" si="5"/>
        <v>7.6199654701857371</v>
      </c>
      <c r="C146" s="16">
        <f t="shared" si="3"/>
        <v>0.26745626916988285</v>
      </c>
      <c r="D146" s="11">
        <f t="shared" si="4"/>
        <v>7627.2702131388669</v>
      </c>
    </row>
    <row r="147" spans="1:5" x14ac:dyDescent="0.25">
      <c r="A147" s="3">
        <v>10</v>
      </c>
      <c r="B147" s="18">
        <f t="shared" si="5"/>
        <v>7.6272702131388668</v>
      </c>
      <c r="C147" s="16">
        <f t="shared" si="3"/>
        <v>0.26675402928748737</v>
      </c>
      <c r="D147" s="11">
        <f t="shared" si="4"/>
        <v>7623.9803585360987</v>
      </c>
    </row>
    <row r="149" spans="1:5" x14ac:dyDescent="0.25">
      <c r="A149" s="30" t="s">
        <v>152</v>
      </c>
      <c r="B149" s="30"/>
      <c r="C149" s="31"/>
      <c r="D149" s="30">
        <f>D147/1000</f>
        <v>7.623980358536099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5.1007451736478169</v>
      </c>
      <c r="C152" s="28">
        <f>IF(F123=TRUE,D149,MIN(D149,D123))</f>
        <v>5.1007451736478169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13" sqref="F13"/>
    </sheetView>
  </sheetViews>
  <sheetFormatPr defaultRowHeight="15" x14ac:dyDescent="0.25"/>
  <sheetData>
    <row r="1" spans="1:6" x14ac:dyDescent="0.25">
      <c r="A1">
        <v>84.680167999999995</v>
      </c>
      <c r="B1">
        <v>62.169303999999997</v>
      </c>
      <c r="C1">
        <v>62.937088000000003</v>
      </c>
    </row>
    <row r="2" spans="1:6" x14ac:dyDescent="0.25">
      <c r="A2">
        <v>147.55038500000001</v>
      </c>
      <c r="B2">
        <v>86.375174999999999</v>
      </c>
      <c r="C2">
        <v>86.789742000000004</v>
      </c>
    </row>
    <row r="3" spans="1:6" x14ac:dyDescent="0.25">
      <c r="A3">
        <v>347.71676600000001</v>
      </c>
      <c r="B3">
        <v>238.18895000000001</v>
      </c>
      <c r="C3">
        <v>244.65303</v>
      </c>
    </row>
    <row r="4" spans="1:6" x14ac:dyDescent="0.25">
      <c r="A4">
        <v>362.96585099999999</v>
      </c>
      <c r="B4">
        <v>285.04296900000003</v>
      </c>
      <c r="C4">
        <v>281.92465199999998</v>
      </c>
    </row>
    <row r="5" spans="1:6" x14ac:dyDescent="0.25">
      <c r="A5">
        <v>415.96163899999999</v>
      </c>
      <c r="B5">
        <v>379.559753</v>
      </c>
      <c r="C5">
        <v>350.82693499999999</v>
      </c>
    </row>
    <row r="6" spans="1:6" x14ac:dyDescent="0.25">
      <c r="A6">
        <v>458.76711999999998</v>
      </c>
      <c r="B6">
        <v>437.77081299999998</v>
      </c>
      <c r="C6">
        <v>410.98623700000002</v>
      </c>
    </row>
    <row r="9" spans="1:6" x14ac:dyDescent="0.25">
      <c r="A9">
        <v>84.680167999999995</v>
      </c>
      <c r="B9">
        <v>62.937088000000003</v>
      </c>
      <c r="C9">
        <v>62.169303999999997</v>
      </c>
      <c r="E9">
        <v>84.680167999999995</v>
      </c>
      <c r="F9">
        <v>62.937088000000003</v>
      </c>
    </row>
    <row r="10" spans="1:6" x14ac:dyDescent="0.25">
      <c r="A10">
        <v>147.55038500000001</v>
      </c>
      <c r="B10">
        <v>86.789742000000004</v>
      </c>
      <c r="C10">
        <v>86.375174999999999</v>
      </c>
      <c r="E10">
        <v>147.55038500000001</v>
      </c>
      <c r="F10">
        <v>86.789742000000004</v>
      </c>
    </row>
    <row r="11" spans="1:6" x14ac:dyDescent="0.25">
      <c r="A11">
        <v>347.71676600000001</v>
      </c>
      <c r="B11">
        <v>244.65303</v>
      </c>
      <c r="C11">
        <v>238.18895000000001</v>
      </c>
      <c r="E11">
        <v>317.86630200000002</v>
      </c>
      <c r="F11">
        <v>232.71762100000001</v>
      </c>
    </row>
    <row r="12" spans="1:6" x14ac:dyDescent="0.25">
      <c r="A12">
        <v>360.11895800000002</v>
      </c>
      <c r="B12">
        <v>269.85098299999999</v>
      </c>
      <c r="C12">
        <v>267.00473</v>
      </c>
      <c r="E12">
        <v>360.11895800000002</v>
      </c>
      <c r="F12">
        <v>269.85098299999999</v>
      </c>
    </row>
    <row r="13" spans="1:6" x14ac:dyDescent="0.25">
      <c r="A13">
        <v>396.79907200000002</v>
      </c>
      <c r="B13">
        <v>324.59774800000002</v>
      </c>
      <c r="C13">
        <v>348.52832000000001</v>
      </c>
      <c r="E13">
        <v>415.96163899999999</v>
      </c>
      <c r="F13">
        <v>350.82693499999999</v>
      </c>
    </row>
    <row r="14" spans="1:6" x14ac:dyDescent="0.25">
      <c r="A14">
        <v>458.76711999999998</v>
      </c>
      <c r="B14">
        <v>410.98623700000002</v>
      </c>
      <c r="C14">
        <v>437.77081299999998</v>
      </c>
      <c r="E14">
        <v>458.76711999999998</v>
      </c>
      <c r="F14">
        <v>410.98623700000002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53"/>
  <sheetViews>
    <sheetView zoomScale="85" zoomScaleNormal="85" workbookViewId="0">
      <selection activeCell="C17" sqref="C17"/>
    </sheetView>
  </sheetViews>
  <sheetFormatPr defaultRowHeight="15.75" x14ac:dyDescent="0.25"/>
  <cols>
    <col min="1" max="1" width="62.140625" style="3" customWidth="1"/>
    <col min="2" max="2" width="13.140625" style="2" customWidth="1"/>
    <col min="3" max="3" width="15" style="3" bestFit="1" customWidth="1"/>
    <col min="4" max="4" width="11.140625" style="3" customWidth="1"/>
    <col min="5" max="5" width="9.140625" style="3"/>
    <col min="6" max="6" width="18.140625" style="3" customWidth="1"/>
    <col min="7" max="7" width="12.28515625" style="3" customWidth="1"/>
    <col min="8" max="16384" width="9.140625" style="3"/>
  </cols>
  <sheetData>
    <row r="1" spans="1:7" x14ac:dyDescent="0.25">
      <c r="A1" s="1" t="s">
        <v>131</v>
      </c>
    </row>
    <row r="2" spans="1:7" x14ac:dyDescent="0.25">
      <c r="A2" s="2" t="s">
        <v>0</v>
      </c>
    </row>
    <row r="4" spans="1:7" ht="21" customHeight="1" x14ac:dyDescent="0.25">
      <c r="A4" s="21" t="s">
        <v>24</v>
      </c>
      <c r="B4" s="4"/>
      <c r="C4" s="5"/>
      <c r="D4" s="5"/>
      <c r="F4" s="60" t="s">
        <v>151</v>
      </c>
      <c r="G4" s="60"/>
    </row>
    <row r="5" spans="1:7" ht="20.25" customHeight="1" x14ac:dyDescent="0.25">
      <c r="A5" s="5" t="s">
        <v>167</v>
      </c>
      <c r="B5" s="4" t="s">
        <v>1</v>
      </c>
      <c r="C5" s="6">
        <v>88.05</v>
      </c>
      <c r="D5" s="5" t="s">
        <v>2</v>
      </c>
      <c r="F5" s="60"/>
      <c r="G5" s="60"/>
    </row>
    <row r="6" spans="1:7" ht="20.25" customHeight="1" x14ac:dyDescent="0.25">
      <c r="A6" s="5" t="s">
        <v>168</v>
      </c>
      <c r="B6" s="4" t="s">
        <v>3</v>
      </c>
      <c r="C6" s="6">
        <v>35.049999999999997</v>
      </c>
      <c r="D6" s="5" t="s">
        <v>2</v>
      </c>
      <c r="F6" s="60"/>
      <c r="G6" s="60"/>
    </row>
    <row r="7" spans="1:7" ht="20.25" customHeight="1" x14ac:dyDescent="0.25">
      <c r="A7" s="5" t="s">
        <v>169</v>
      </c>
      <c r="B7" s="4" t="s">
        <v>4</v>
      </c>
      <c r="C7" s="6">
        <v>6.5250000000000004</v>
      </c>
      <c r="D7" s="5" t="s">
        <v>2</v>
      </c>
      <c r="F7" s="60"/>
      <c r="G7" s="60"/>
    </row>
    <row r="8" spans="1:7" ht="20.25" customHeight="1" x14ac:dyDescent="0.25">
      <c r="A8" s="5" t="s">
        <v>27</v>
      </c>
      <c r="B8" s="4" t="s">
        <v>5</v>
      </c>
      <c r="C8" s="6">
        <v>0.95</v>
      </c>
      <c r="D8" s="5" t="s">
        <v>2</v>
      </c>
      <c r="F8" s="61">
        <f>MIN($C$38,$C$43,$C$48)/1000</f>
        <v>17.804657778566405</v>
      </c>
      <c r="G8" s="62" t="s">
        <v>8</v>
      </c>
    </row>
    <row r="9" spans="1:7" ht="20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61"/>
      <c r="G9" s="62"/>
    </row>
    <row r="10" spans="1:7" ht="17.25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</row>
    <row r="11" spans="1:7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7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7" ht="19.5" x14ac:dyDescent="0.3">
      <c r="A13" s="5" t="s">
        <v>113</v>
      </c>
      <c r="B13" s="4" t="s">
        <v>112</v>
      </c>
      <c r="C13" s="22">
        <f>'Input-Output Screen'!C13</f>
        <v>14687</v>
      </c>
      <c r="D13" s="5" t="s">
        <v>51</v>
      </c>
    </row>
    <row r="14" spans="1:7" x14ac:dyDescent="0.25">
      <c r="A14" s="5"/>
      <c r="B14" s="4"/>
      <c r="C14" s="5"/>
      <c r="D14" s="5"/>
    </row>
    <row r="15" spans="1:7" ht="18.75" x14ac:dyDescent="0.25">
      <c r="A15" s="21" t="s">
        <v>137</v>
      </c>
      <c r="B15" s="4"/>
      <c r="C15" s="5"/>
      <c r="D15" s="5"/>
    </row>
    <row r="16" spans="1:7" ht="17.25" x14ac:dyDescent="0.3">
      <c r="A16" s="5" t="s">
        <v>33</v>
      </c>
      <c r="B16" s="4" t="s">
        <v>58</v>
      </c>
      <c r="C16" s="22">
        <f>'Input-Output Screen'!C16</f>
        <v>200000</v>
      </c>
      <c r="D16" s="5" t="s">
        <v>6</v>
      </c>
    </row>
    <row r="17" spans="1:4" ht="17.25" x14ac:dyDescent="0.3">
      <c r="A17" s="5" t="s">
        <v>34</v>
      </c>
      <c r="B17" s="4" t="s">
        <v>59</v>
      </c>
      <c r="C17" s="6">
        <f>'Input-Output Screen'!C17</f>
        <v>617.5</v>
      </c>
      <c r="D17" s="5" t="s">
        <v>6</v>
      </c>
    </row>
    <row r="18" spans="1:4" x14ac:dyDescent="0.25">
      <c r="A18" s="5"/>
      <c r="B18" s="4"/>
      <c r="C18" s="5"/>
      <c r="D18" s="5"/>
    </row>
    <row r="19" spans="1:4" x14ac:dyDescent="0.25">
      <c r="A19" s="21" t="s">
        <v>106</v>
      </c>
      <c r="B19" s="4"/>
      <c r="C19" s="5"/>
      <c r="D19" s="5"/>
    </row>
    <row r="20" spans="1:4" ht="18.75" x14ac:dyDescent="0.25">
      <c r="A20" s="5" t="s">
        <v>126</v>
      </c>
      <c r="B20" s="4"/>
      <c r="C20" s="24">
        <f>'Input-Output Screen'!C21</f>
        <v>0.44588</v>
      </c>
      <c r="D20" s="5"/>
    </row>
    <row r="21" spans="1:4" ht="18.75" customHeight="1" x14ac:dyDescent="0.25">
      <c r="A21" s="5" t="s">
        <v>130</v>
      </c>
      <c r="B21" s="4"/>
      <c r="C21" s="24">
        <f>'Input-Output Screen'!C22</f>
        <v>0.60390999999999995</v>
      </c>
      <c r="D21" s="5"/>
    </row>
    <row r="22" spans="1:4" x14ac:dyDescent="0.25">
      <c r="A22" s="5"/>
      <c r="B22" s="5"/>
      <c r="C22" s="5"/>
      <c r="D22" s="5"/>
    </row>
    <row r="24" spans="1:4" x14ac:dyDescent="0.25">
      <c r="A24" s="1" t="s">
        <v>111</v>
      </c>
    </row>
    <row r="25" spans="1:4" ht="17.25" x14ac:dyDescent="0.3">
      <c r="A25" s="3" t="s">
        <v>127</v>
      </c>
      <c r="B25" s="2" t="s">
        <v>132</v>
      </c>
      <c r="C25" s="7">
        <f>($C$12/$C$11)^0.5</f>
        <v>26.884265270947704</v>
      </c>
      <c r="D25" s="3" t="s">
        <v>2</v>
      </c>
    </row>
    <row r="26" spans="1:4" ht="17.25" x14ac:dyDescent="0.3">
      <c r="A26" s="3" t="s">
        <v>128</v>
      </c>
      <c r="B26" s="2" t="s">
        <v>133</v>
      </c>
      <c r="C26" s="7">
        <f>($C$13/$C$11)^0.5</f>
        <v>10.70881255181971</v>
      </c>
      <c r="D26" s="3" t="s">
        <v>2</v>
      </c>
    </row>
    <row r="28" spans="1:4" ht="17.25" x14ac:dyDescent="0.3">
      <c r="A28" s="1" t="s">
        <v>138</v>
      </c>
    </row>
    <row r="29" spans="1:4" x14ac:dyDescent="0.25">
      <c r="A29" s="3" t="s">
        <v>110</v>
      </c>
    </row>
    <row r="30" spans="1:4" ht="17.25" x14ac:dyDescent="0.3">
      <c r="A30" s="3" t="s">
        <v>114</v>
      </c>
      <c r="B30" s="2" t="s">
        <v>125</v>
      </c>
      <c r="C30" s="8">
        <f>(3.141592654)^2*$C$16/($C$9/$C$25)^2</f>
        <v>158.51982189820276</v>
      </c>
      <c r="D30" s="3" t="s">
        <v>129</v>
      </c>
    </row>
    <row r="31" spans="1:4" ht="17.25" x14ac:dyDescent="0.3">
      <c r="A31" s="3" t="s">
        <v>115</v>
      </c>
      <c r="B31" s="2" t="s">
        <v>124</v>
      </c>
      <c r="C31" s="8">
        <f>(3.141592654)^2*$C$16/($C$10/$C$26)^2</f>
        <v>226.36661392502711</v>
      </c>
      <c r="D31" s="3" t="s">
        <v>6</v>
      </c>
    </row>
    <row r="32" spans="1:4" ht="17.25" x14ac:dyDescent="0.3">
      <c r="A32" s="3" t="s">
        <v>116</v>
      </c>
      <c r="B32" s="2" t="s">
        <v>123</v>
      </c>
      <c r="C32" s="8">
        <f>MIN(C30:C31)</f>
        <v>158.51982189820276</v>
      </c>
      <c r="D32" s="3" t="s">
        <v>6</v>
      </c>
    </row>
    <row r="33" spans="1:6" x14ac:dyDescent="0.25">
      <c r="C33" s="8"/>
    </row>
    <row r="34" spans="1:6" ht="17.25" x14ac:dyDescent="0.3">
      <c r="A34" s="3" t="s">
        <v>117</v>
      </c>
      <c r="B34" s="2" t="s">
        <v>122</v>
      </c>
      <c r="C34" s="23">
        <f>C11*C32</f>
        <v>20301.776258342536</v>
      </c>
      <c r="D34" s="3" t="s">
        <v>118</v>
      </c>
    </row>
    <row r="35" spans="1:6" ht="17.25" x14ac:dyDescent="0.3">
      <c r="A35" s="3" t="s">
        <v>119</v>
      </c>
      <c r="B35" s="2" t="s">
        <v>121</v>
      </c>
      <c r="C35" s="23">
        <f>$C$11*$C$17</f>
        <v>79083.780749999991</v>
      </c>
      <c r="D35" s="3" t="s">
        <v>118</v>
      </c>
    </row>
    <row r="37" spans="1:6" ht="17.25" x14ac:dyDescent="0.3">
      <c r="A37" s="3" t="s">
        <v>10</v>
      </c>
      <c r="B37" s="2" t="s">
        <v>91</v>
      </c>
      <c r="C37" s="16">
        <f>SQRT($C$35/$C$34)</f>
        <v>1.9736797856196522</v>
      </c>
    </row>
    <row r="38" spans="1:6" ht="17.25" x14ac:dyDescent="0.3">
      <c r="A38" s="26" t="s">
        <v>21</v>
      </c>
      <c r="B38" s="26" t="s">
        <v>141</v>
      </c>
      <c r="C38" s="27">
        <f>IF(C37&lt;=1.5,(0.658^(C37^2))*C35,(0.877/(C37^2))*C35)</f>
        <v>17804.657778566405</v>
      </c>
      <c r="D38" s="26" t="s">
        <v>118</v>
      </c>
    </row>
    <row r="39" spans="1:6" x14ac:dyDescent="0.25">
      <c r="C39" s="7"/>
    </row>
    <row r="40" spans="1:6" ht="17.25" x14ac:dyDescent="0.3">
      <c r="A40" s="1" t="s">
        <v>139</v>
      </c>
      <c r="C40" s="7"/>
    </row>
    <row r="41" spans="1:6" ht="17.25" x14ac:dyDescent="0.3">
      <c r="A41" s="3" t="s">
        <v>120</v>
      </c>
      <c r="B41" s="2" t="s">
        <v>61</v>
      </c>
      <c r="C41" s="23">
        <f>$C$20*$C$11*$C$17</f>
        <v>35261.876160809996</v>
      </c>
      <c r="D41" s="3" t="s">
        <v>118</v>
      </c>
    </row>
    <row r="42" spans="1:6" ht="17.25" x14ac:dyDescent="0.3">
      <c r="A42" s="3" t="s">
        <v>10</v>
      </c>
      <c r="B42" s="2" t="s">
        <v>93</v>
      </c>
      <c r="C42" s="16">
        <f>SQRT(C38/C41)</f>
        <v>0.71058184508828159</v>
      </c>
      <c r="F42" s="3">
        <f>SQRT(C35/C41)</f>
        <v>1.4975833527547016</v>
      </c>
    </row>
    <row r="43" spans="1:6" ht="17.25" x14ac:dyDescent="0.3">
      <c r="A43" s="26" t="s">
        <v>11</v>
      </c>
      <c r="B43" s="26" t="s">
        <v>142</v>
      </c>
      <c r="C43" s="27">
        <f>IF(C42&lt;0.776,C38,(1-0.15*(C41/C38)^0.4)*((C41/C38)^0.4)*C38)</f>
        <v>17804.657778566405</v>
      </c>
      <c r="D43" s="26" t="s">
        <v>8</v>
      </c>
      <c r="F43" s="3">
        <f>IF(C42&lt;0.776,C35,(1-0.15*(C41/C35)^0.4)*((C41/C35)^0.4)*C35)</f>
        <v>79083.780749999991</v>
      </c>
    </row>
    <row r="44" spans="1:6" x14ac:dyDescent="0.25">
      <c r="C44" s="9"/>
    </row>
    <row r="45" spans="1:6" ht="17.25" x14ac:dyDescent="0.3">
      <c r="A45" s="1" t="s">
        <v>140</v>
      </c>
      <c r="C45" s="7"/>
    </row>
    <row r="46" spans="1:6" ht="17.25" x14ac:dyDescent="0.3">
      <c r="A46" s="3" t="s">
        <v>136</v>
      </c>
      <c r="B46" s="2" t="s">
        <v>134</v>
      </c>
      <c r="C46" s="23">
        <f>$C$21*$C$11*$C$17</f>
        <v>47759.486032732493</v>
      </c>
      <c r="D46" s="3" t="s">
        <v>8</v>
      </c>
    </row>
    <row r="47" spans="1:6" ht="17.25" x14ac:dyDescent="0.3">
      <c r="A47" s="3" t="s">
        <v>10</v>
      </c>
      <c r="B47" s="2" t="s">
        <v>135</v>
      </c>
      <c r="C47" s="16">
        <f>SQRT(C35/C46)</f>
        <v>1.2868084066963386</v>
      </c>
    </row>
    <row r="48" spans="1:6" ht="17.25" x14ac:dyDescent="0.3">
      <c r="A48" s="26" t="s">
        <v>196</v>
      </c>
      <c r="B48" s="26" t="s">
        <v>143</v>
      </c>
      <c r="C48" s="27">
        <f>IF(C47&lt;0.561,C35,(1-0.25*(C46/C35)^0.6)*((C46/C35)^0.6)*C35)</f>
        <v>47640.401173404462</v>
      </c>
      <c r="D48" s="26" t="s">
        <v>8</v>
      </c>
    </row>
    <row r="49" spans="1:4" x14ac:dyDescent="0.25">
      <c r="C49" s="9"/>
    </row>
    <row r="50" spans="1:4" ht="49.5" customHeight="1" x14ac:dyDescent="0.25">
      <c r="A50" s="60" t="s">
        <v>151</v>
      </c>
      <c r="B50" s="60"/>
      <c r="C50" s="32">
        <f>MIN(C38,C43,C48)/1000</f>
        <v>17.804657778566405</v>
      </c>
      <c r="D50" s="29" t="s">
        <v>118</v>
      </c>
    </row>
    <row r="51" spans="1:4" x14ac:dyDescent="0.25">
      <c r="B51" s="3"/>
    </row>
    <row r="53" spans="1:4" ht="60.75" customHeight="1" x14ac:dyDescent="0.25">
      <c r="A53" s="60" t="s">
        <v>197</v>
      </c>
      <c r="B53" s="60"/>
      <c r="C53" s="32">
        <f>MIN(C38,C43)/1000</f>
        <v>17.804657778566405</v>
      </c>
      <c r="D53" s="29" t="s">
        <v>118</v>
      </c>
    </row>
  </sheetData>
  <mergeCells count="5">
    <mergeCell ref="A50:B50"/>
    <mergeCell ref="F8:F9"/>
    <mergeCell ref="G8:G9"/>
    <mergeCell ref="F4:G7"/>
    <mergeCell ref="A53:B5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53"/>
  <sheetViews>
    <sheetView zoomScale="85" zoomScaleNormal="85" workbookViewId="0">
      <selection activeCell="C5" sqref="C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Screen'!F7</f>
        <v>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Screen'!G7</f>
        <v>84.680167999999995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Screen'!H7</f>
        <v>62.937088000000003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73.808627999999999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189198.41194399999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192829.50630399998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191013.95912399999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197232.04845564259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7.725248259237713E-6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2.8183001832293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5088902.2045348212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87241181.646807685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350672725.99116248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407902418.44511557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33.686294826404463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0.16129482640446469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2.6570053568248353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0.16129482640446469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1217484921.7991676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5823478519.4481506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1214380913.1595702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5822119278.1874895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4558626065.9569578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18636089698.551338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38.42127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20.436759211990925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33.677552858082556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1.3711338228770742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17.491817971998408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0.72068786824059272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17.491817971998408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17.491817971998408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33.686294826404463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2804.943136825385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841482.94104761549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498294.06025450991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1.2995105298604817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599370.36973013298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16233.086172943549</v>
      </c>
    </row>
    <row r="113" spans="1:6" x14ac:dyDescent="0.25">
      <c r="A113" s="3">
        <v>2</v>
      </c>
      <c r="B113" s="18">
        <f>D112/1000</f>
        <v>16.233086172943548</v>
      </c>
      <c r="C113" s="16">
        <f>(1-B113/$C$80)</f>
        <v>0.20569176332913597</v>
      </c>
      <c r="D113" s="11">
        <f t="shared" si="1"/>
        <v>12703.054635858749</v>
      </c>
    </row>
    <row r="114" spans="1:6" x14ac:dyDescent="0.25">
      <c r="A114" s="3">
        <v>3</v>
      </c>
      <c r="B114" s="18">
        <f>D113/1000</f>
        <v>12.703054635858749</v>
      </c>
      <c r="C114" s="16">
        <f t="shared" si="0"/>
        <v>0.37842127980812901</v>
      </c>
      <c r="D114" s="11">
        <f t="shared" si="1"/>
        <v>14517.153260990703</v>
      </c>
    </row>
    <row r="115" spans="1:6" x14ac:dyDescent="0.25">
      <c r="A115" s="3">
        <v>4</v>
      </c>
      <c r="B115" s="18">
        <f t="shared" ref="B115:B121" si="2">D114/1000</f>
        <v>14.517153260990703</v>
      </c>
      <c r="C115" s="16">
        <f t="shared" si="0"/>
        <v>0.28965482685371136</v>
      </c>
      <c r="D115" s="11">
        <f t="shared" si="1"/>
        <v>13798.053738672594</v>
      </c>
    </row>
    <row r="116" spans="1:6" x14ac:dyDescent="0.25">
      <c r="A116" s="3">
        <v>5</v>
      </c>
      <c r="B116" s="18">
        <f t="shared" si="2"/>
        <v>13.798053738672595</v>
      </c>
      <c r="C116" s="16">
        <f t="shared" si="0"/>
        <v>0.32484139997222172</v>
      </c>
      <c r="D116" s="11">
        <f t="shared" si="1"/>
        <v>14121.057091244493</v>
      </c>
    </row>
    <row r="117" spans="1:6" x14ac:dyDescent="0.25">
      <c r="A117" s="3">
        <v>6</v>
      </c>
      <c r="B117" s="18">
        <f t="shared" si="2"/>
        <v>14.121057091244493</v>
      </c>
      <c r="C117" s="16">
        <f t="shared" si="0"/>
        <v>0.30903638170971837</v>
      </c>
      <c r="D117" s="11">
        <f t="shared" si="1"/>
        <v>13983.245304326785</v>
      </c>
    </row>
    <row r="118" spans="1:6" x14ac:dyDescent="0.25">
      <c r="A118" s="3">
        <v>7</v>
      </c>
      <c r="B118" s="18">
        <f t="shared" si="2"/>
        <v>13.983245304326784</v>
      </c>
      <c r="C118" s="16">
        <f t="shared" si="0"/>
        <v>0.31577971050701859</v>
      </c>
      <c r="D118" s="11">
        <f t="shared" si="1"/>
        <v>14043.39838253125</v>
      </c>
    </row>
    <row r="119" spans="1:6" x14ac:dyDescent="0.25">
      <c r="A119" s="3">
        <v>8</v>
      </c>
      <c r="B119" s="18">
        <f t="shared" si="2"/>
        <v>14.043398382531249</v>
      </c>
      <c r="C119" s="16">
        <f t="shared" si="0"/>
        <v>0.31283633393833199</v>
      </c>
      <c r="D119" s="11">
        <f t="shared" si="1"/>
        <v>14017.39791265215</v>
      </c>
    </row>
    <row r="120" spans="1:6" x14ac:dyDescent="0.25">
      <c r="A120" s="3">
        <v>9</v>
      </c>
      <c r="B120" s="18">
        <f t="shared" si="2"/>
        <v>14.01739791265215</v>
      </c>
      <c r="C120" s="16">
        <f t="shared" si="0"/>
        <v>0.31410857429745132</v>
      </c>
      <c r="D120" s="11">
        <f t="shared" si="1"/>
        <v>14028.684267289063</v>
      </c>
    </row>
    <row r="121" spans="1:6" x14ac:dyDescent="0.25">
      <c r="A121" s="3">
        <v>10</v>
      </c>
      <c r="B121" s="18">
        <f t="shared" si="2"/>
        <v>14.028684267289064</v>
      </c>
      <c r="C121" s="16">
        <f t="shared" si="0"/>
        <v>0.3135563167442923</v>
      </c>
      <c r="D121" s="11">
        <f t="shared" si="1"/>
        <v>14023.794074893642</v>
      </c>
    </row>
    <row r="123" spans="1:6" x14ac:dyDescent="0.25">
      <c r="A123" s="30" t="s">
        <v>153</v>
      </c>
      <c r="B123" s="30"/>
      <c r="C123" s="31"/>
      <c r="D123" s="30">
        <f>D121/1000</f>
        <v>14.023794074893642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841482.94104761549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498294.06025450991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1.2995105298604817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599370.36973013298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17409.866725492571</v>
      </c>
    </row>
    <row r="139" spans="1:4" x14ac:dyDescent="0.25">
      <c r="A139" s="3">
        <v>2</v>
      </c>
      <c r="B139" s="18">
        <f>D138/1000</f>
        <v>17.40986672549257</v>
      </c>
      <c r="C139" s="16">
        <f t="shared" si="3"/>
        <v>0.14811019962119909</v>
      </c>
      <c r="D139" s="11">
        <f t="shared" si="4"/>
        <v>16953.024482747867</v>
      </c>
    </row>
    <row r="140" spans="1:4" x14ac:dyDescent="0.25">
      <c r="A140" s="3">
        <v>3</v>
      </c>
      <c r="B140" s="18">
        <f>D139/1000</f>
        <v>16.953024482747868</v>
      </c>
      <c r="C140" s="16">
        <f t="shared" si="3"/>
        <v>0.17046414713341806</v>
      </c>
      <c r="D140" s="11">
        <f t="shared" si="4"/>
        <v>17021.780951565714</v>
      </c>
    </row>
    <row r="141" spans="1:4" x14ac:dyDescent="0.25">
      <c r="A141" s="3">
        <v>4</v>
      </c>
      <c r="B141" s="18">
        <f>D140/1000</f>
        <v>17.021780951565713</v>
      </c>
      <c r="C141" s="16">
        <f t="shared" si="3"/>
        <v>0.16709979429720589</v>
      </c>
      <c r="D141" s="11">
        <f t="shared" si="4"/>
        <v>17012.576607807332</v>
      </c>
    </row>
    <row r="142" spans="1:4" x14ac:dyDescent="0.25">
      <c r="A142" s="3">
        <v>5</v>
      </c>
      <c r="B142" s="18">
        <f>D141/1000</f>
        <v>17.012576607807333</v>
      </c>
      <c r="C142" s="16">
        <f t="shared" si="3"/>
        <v>0.16755017606580747</v>
      </c>
      <c r="D142" s="11">
        <f t="shared" si="4"/>
        <v>17013.829625893028</v>
      </c>
    </row>
    <row r="143" spans="1:4" x14ac:dyDescent="0.25">
      <c r="A143" s="3">
        <v>6</v>
      </c>
      <c r="B143" s="18">
        <f>D142/1000</f>
        <v>17.013829625893027</v>
      </c>
      <c r="C143" s="16">
        <f t="shared" si="3"/>
        <v>0.16748886409003394</v>
      </c>
      <c r="D143" s="11">
        <f t="shared" si="4"/>
        <v>17013.659433765086</v>
      </c>
    </row>
    <row r="144" spans="1:4" ht="18.75" customHeight="1" x14ac:dyDescent="0.25">
      <c r="A144" s="3">
        <v>7</v>
      </c>
      <c r="B144" s="18">
        <f t="shared" ref="B144:B147" si="5">D143/1000</f>
        <v>17.013659433765085</v>
      </c>
      <c r="C144" s="16">
        <f t="shared" si="3"/>
        <v>0.16749719183545475</v>
      </c>
      <c r="D144" s="11">
        <f t="shared" si="4"/>
        <v>17013.682557351942</v>
      </c>
    </row>
    <row r="145" spans="1:5" x14ac:dyDescent="0.25">
      <c r="A145" s="3">
        <v>8</v>
      </c>
      <c r="B145" s="18">
        <f t="shared" si="5"/>
        <v>17.013682557351942</v>
      </c>
      <c r="C145" s="16">
        <f t="shared" si="3"/>
        <v>0.16749606036511655</v>
      </c>
      <c r="D145" s="11">
        <f t="shared" si="4"/>
        <v>17013.679415738225</v>
      </c>
    </row>
    <row r="146" spans="1:5" x14ac:dyDescent="0.25">
      <c r="A146" s="3">
        <v>9</v>
      </c>
      <c r="B146" s="18">
        <f t="shared" si="5"/>
        <v>17.013679415738224</v>
      </c>
      <c r="C146" s="16">
        <f t="shared" si="3"/>
        <v>0.1674962140887909</v>
      </c>
      <c r="D146" s="11">
        <f t="shared" si="4"/>
        <v>17013.679842566158</v>
      </c>
    </row>
    <row r="147" spans="1:5" x14ac:dyDescent="0.25">
      <c r="A147" s="3">
        <v>10</v>
      </c>
      <c r="B147" s="18">
        <f t="shared" si="5"/>
        <v>17.013679842566159</v>
      </c>
      <c r="C147" s="16">
        <f t="shared" si="3"/>
        <v>0.16749619320348652</v>
      </c>
      <c r="D147" s="11">
        <f t="shared" si="4"/>
        <v>17013.67978457623</v>
      </c>
    </row>
    <row r="149" spans="1:5" x14ac:dyDescent="0.25">
      <c r="A149" s="30" t="s">
        <v>152</v>
      </c>
      <c r="B149" s="30"/>
      <c r="C149" s="31"/>
      <c r="D149" s="30">
        <f>D147/1000</f>
        <v>17.01367978457623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14.023794074893642</v>
      </c>
      <c r="C152" s="28">
        <f>IF(F123=TRUE,D149,MIN(D149,D123))</f>
        <v>14.023794074893642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3"/>
  <sheetViews>
    <sheetView zoomScale="85" zoomScaleNormal="85" workbookViewId="0">
      <selection activeCell="C3" sqref="C3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Screen'!F8</f>
        <v>60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Screen'!G8</f>
        <v>147.55038500000001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Screen'!H8</f>
        <v>86.789742000000004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117.1700635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178699.085705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188846.113086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183772.5993955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189754.96029200169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9.9023177746752864E-6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10.095154281536905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4806500.0221127411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85438988.932823688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343428671.98083609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392438793.90357769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33.9934962108942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0.46849621089420168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9.6266580706427032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0.46849621089420168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1173529411.5665805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5601082643.3905191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1164869349.9085112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5597337514.4697065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4388072824.7973185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17924891744.132637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38.42127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19.656843382993529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32.400833208171335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1.3980701697714706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16.954149623666193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0.72336903899015981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16.954149623666193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16.954149623666193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33.9934962108942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2778.8657769203737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833659.73307611211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479403.67885293206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1.3186930924630265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587824.91041458002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13269.752767293177</v>
      </c>
    </row>
    <row r="113" spans="1:6" x14ac:dyDescent="0.25">
      <c r="A113" s="3">
        <v>2</v>
      </c>
      <c r="B113" s="18">
        <f>D112/1000</f>
        <v>13.269752767293177</v>
      </c>
      <c r="C113" s="16">
        <f>(1-B113/$C$80)</f>
        <v>0.32492961821256905</v>
      </c>
      <c r="D113" s="11">
        <f t="shared" si="1"/>
        <v>9142.1461167210346</v>
      </c>
    </row>
    <row r="114" spans="1:6" x14ac:dyDescent="0.25">
      <c r="A114" s="3">
        <v>3</v>
      </c>
      <c r="B114" s="18">
        <f>D113/1000</f>
        <v>9.1421461167210349</v>
      </c>
      <c r="C114" s="16">
        <f t="shared" si="0"/>
        <v>0.53491280677188857</v>
      </c>
      <c r="D114" s="11">
        <f t="shared" si="1"/>
        <v>11160.921508595067</v>
      </c>
    </row>
    <row r="115" spans="1:6" x14ac:dyDescent="0.25">
      <c r="A115" s="3">
        <v>4</v>
      </c>
      <c r="B115" s="18">
        <f t="shared" ref="B115:B121" si="2">D114/1000</f>
        <v>11.160921508595067</v>
      </c>
      <c r="C115" s="16">
        <f t="shared" si="0"/>
        <v>0.432211912607945</v>
      </c>
      <c r="D115" s="11">
        <f t="shared" si="1"/>
        <v>10322.777443090614</v>
      </c>
    </row>
    <row r="116" spans="1:6" x14ac:dyDescent="0.25">
      <c r="A116" s="3">
        <v>5</v>
      </c>
      <c r="B116" s="18">
        <f t="shared" si="2"/>
        <v>10.322777443090613</v>
      </c>
      <c r="C116" s="16">
        <f t="shared" si="0"/>
        <v>0.47485070507192673</v>
      </c>
      <c r="D116" s="11">
        <f t="shared" si="1"/>
        <v>10698.527637639911</v>
      </c>
    </row>
    <row r="117" spans="1:6" x14ac:dyDescent="0.25">
      <c r="A117" s="3">
        <v>6</v>
      </c>
      <c r="B117" s="18">
        <f t="shared" si="2"/>
        <v>10.698527637639911</v>
      </c>
      <c r="C117" s="16">
        <f t="shared" si="0"/>
        <v>0.45573521499917258</v>
      </c>
      <c r="D117" s="11">
        <f t="shared" si="1"/>
        <v>10535.477356351972</v>
      </c>
    </row>
    <row r="118" spans="1:6" x14ac:dyDescent="0.25">
      <c r="A118" s="3">
        <v>7</v>
      </c>
      <c r="B118" s="18">
        <f t="shared" si="2"/>
        <v>10.535477356351972</v>
      </c>
      <c r="C118" s="16">
        <f t="shared" si="0"/>
        <v>0.46403005044711654</v>
      </c>
      <c r="D118" s="11">
        <f t="shared" si="1"/>
        <v>10607.262433667742</v>
      </c>
    </row>
    <row r="119" spans="1:6" x14ac:dyDescent="0.25">
      <c r="A119" s="3">
        <v>8</v>
      </c>
      <c r="B119" s="18">
        <f t="shared" si="2"/>
        <v>10.607262433667742</v>
      </c>
      <c r="C119" s="16">
        <f t="shared" si="0"/>
        <v>0.46037813767978608</v>
      </c>
      <c r="D119" s="11">
        <f t="shared" si="1"/>
        <v>10575.85691016214</v>
      </c>
    </row>
    <row r="120" spans="1:6" x14ac:dyDescent="0.25">
      <c r="A120" s="3">
        <v>9</v>
      </c>
      <c r="B120" s="18">
        <f t="shared" si="2"/>
        <v>10.575856910162139</v>
      </c>
      <c r="C120" s="16">
        <f t="shared" si="0"/>
        <v>0.46197582673360305</v>
      </c>
      <c r="D120" s="11">
        <f t="shared" si="1"/>
        <v>10589.634791040427</v>
      </c>
    </row>
    <row r="121" spans="1:6" x14ac:dyDescent="0.25">
      <c r="A121" s="3">
        <v>10</v>
      </c>
      <c r="B121" s="18">
        <f t="shared" si="2"/>
        <v>10.589634791040428</v>
      </c>
      <c r="C121" s="16">
        <f t="shared" si="0"/>
        <v>0.46127490641746471</v>
      </c>
      <c r="D121" s="11">
        <f t="shared" si="1"/>
        <v>10583.597648481275</v>
      </c>
    </row>
    <row r="123" spans="1:6" x14ac:dyDescent="0.25">
      <c r="A123" s="30" t="s">
        <v>153</v>
      </c>
      <c r="B123" s="30"/>
      <c r="C123" s="31"/>
      <c r="D123" s="30">
        <f>D121/1000</f>
        <v>10.583597648481275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833659.73307611211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479403.67885293206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1.3186930924630265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587824.91041458002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16728.111844591614</v>
      </c>
    </row>
    <row r="139" spans="1:4" x14ac:dyDescent="0.25">
      <c r="A139" s="3">
        <v>2</v>
      </c>
      <c r="B139" s="18">
        <f>D138/1000</f>
        <v>16.728111844591613</v>
      </c>
      <c r="C139" s="16">
        <f t="shared" si="3"/>
        <v>0.14899297315131277</v>
      </c>
      <c r="D139" s="11">
        <f t="shared" si="4"/>
        <v>15544.399114888838</v>
      </c>
    </row>
    <row r="140" spans="1:4" x14ac:dyDescent="0.25">
      <c r="A140" s="3">
        <v>3</v>
      </c>
      <c r="B140" s="18">
        <f>D139/1000</f>
        <v>15.544399114888838</v>
      </c>
      <c r="C140" s="16">
        <f t="shared" si="3"/>
        <v>0.20921183467649973</v>
      </c>
      <c r="D140" s="11">
        <f t="shared" si="4"/>
        <v>15925.559035106715</v>
      </c>
    </row>
    <row r="141" spans="1:4" x14ac:dyDescent="0.25">
      <c r="A141" s="3">
        <v>4</v>
      </c>
      <c r="B141" s="18">
        <f>D140/1000</f>
        <v>15.925559035106716</v>
      </c>
      <c r="C141" s="16">
        <f t="shared" si="3"/>
        <v>0.18982113634353937</v>
      </c>
      <c r="D141" s="11">
        <f t="shared" si="4"/>
        <v>15827.468551655204</v>
      </c>
    </row>
    <row r="142" spans="1:4" x14ac:dyDescent="0.25">
      <c r="A142" s="3">
        <v>5</v>
      </c>
      <c r="B142" s="18">
        <f>D141/1000</f>
        <v>15.827468551655203</v>
      </c>
      <c r="C142" s="16">
        <f t="shared" si="3"/>
        <v>0.19481128056661312</v>
      </c>
      <c r="D142" s="11">
        <f t="shared" si="4"/>
        <v>15854.456840606763</v>
      </c>
    </row>
    <row r="143" spans="1:4" x14ac:dyDescent="0.25">
      <c r="A143" s="3">
        <v>6</v>
      </c>
      <c r="B143" s="18">
        <f>D142/1000</f>
        <v>15.854456840606764</v>
      </c>
      <c r="C143" s="16">
        <f t="shared" si="3"/>
        <v>0.1934383089034768</v>
      </c>
      <c r="D143" s="11">
        <f t="shared" si="4"/>
        <v>15847.161158119425</v>
      </c>
    </row>
    <row r="144" spans="1:4" ht="18.75" customHeight="1" x14ac:dyDescent="0.25">
      <c r="A144" s="3">
        <v>7</v>
      </c>
      <c r="B144" s="18">
        <f t="shared" ref="B144:B147" si="5">D143/1000</f>
        <v>15.847161158119425</v>
      </c>
      <c r="C144" s="16">
        <f t="shared" si="3"/>
        <v>0.19380946119610021</v>
      </c>
      <c r="D144" s="11">
        <f t="shared" si="4"/>
        <v>15849.142913468051</v>
      </c>
    </row>
    <row r="145" spans="1:5" x14ac:dyDescent="0.25">
      <c r="A145" s="3">
        <v>8</v>
      </c>
      <c r="B145" s="18">
        <f t="shared" si="5"/>
        <v>15.849142913468052</v>
      </c>
      <c r="C145" s="16">
        <f t="shared" si="3"/>
        <v>0.19370864361771212</v>
      </c>
      <c r="D145" s="11">
        <f t="shared" si="4"/>
        <v>15848.605303620783</v>
      </c>
    </row>
    <row r="146" spans="1:5" x14ac:dyDescent="0.25">
      <c r="A146" s="3">
        <v>9</v>
      </c>
      <c r="B146" s="18">
        <f t="shared" si="5"/>
        <v>15.848605303620783</v>
      </c>
      <c r="C146" s="16">
        <f t="shared" si="3"/>
        <v>0.19373599337254277</v>
      </c>
      <c r="D146" s="11">
        <f t="shared" si="4"/>
        <v>15848.751197918367</v>
      </c>
    </row>
    <row r="147" spans="1:5" x14ac:dyDescent="0.25">
      <c r="A147" s="3">
        <v>10</v>
      </c>
      <c r="B147" s="18">
        <f t="shared" si="5"/>
        <v>15.848751197918368</v>
      </c>
      <c r="C147" s="16">
        <f t="shared" si="3"/>
        <v>0.19372857131119026</v>
      </c>
      <c r="D147" s="11">
        <f t="shared" si="4"/>
        <v>15848.711609545018</v>
      </c>
    </row>
    <row r="149" spans="1:5" x14ac:dyDescent="0.25">
      <c r="A149" s="30" t="s">
        <v>152</v>
      </c>
      <c r="B149" s="30"/>
      <c r="C149" s="31"/>
      <c r="D149" s="30">
        <f>D147/1000</f>
        <v>15.848711609545019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10.583597648481275</v>
      </c>
      <c r="C152" s="28">
        <f>IF(F123=TRUE,D149,MIN(D149,D123))</f>
        <v>10.583597648481275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3"/>
  <sheetViews>
    <sheetView zoomScale="85" zoomScaleNormal="85" workbookViewId="0"/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Screen'!F9</f>
        <v>85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Screen'!G9</f>
        <v>317.86630200000002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Screen'!H9</f>
        <v>232.71762100000001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275.29196150000001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138196.09846000001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161186.24233000004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149691.17039499999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154564.07640638741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1.2074800406224581E-5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17.250894763897442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3717084.2127330429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72924929.984048799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293127437.15177327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319659310.2620455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34.82814731573221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1.3031473157322111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15.947747448165231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1.3031473157322111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958087218.99138653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4546876642.7781773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938709123.07633007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4539313341.6315699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3588384982.4714789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14571371308.948942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38.42127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15.979296711189965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26.391957564175986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1.550625878243685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14.013843215713601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0.72869002590958043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14.013843215713601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14.013843215713601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34.82814731573221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2706.8331663617309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812049.94990851928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390496.17851202545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1.4420588291176459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538082.42498918297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9901.3699734499969</v>
      </c>
    </row>
    <row r="113" spans="1:6" x14ac:dyDescent="0.25">
      <c r="A113" s="3">
        <v>2</v>
      </c>
      <c r="B113" s="18">
        <f>D112/1000</f>
        <v>9.9013699734499969</v>
      </c>
      <c r="C113" s="16">
        <f>(1-B113/$C$80)</f>
        <v>0.38036259339772593</v>
      </c>
      <c r="D113" s="11">
        <f t="shared" si="1"/>
        <v>6698.879610592202</v>
      </c>
    </row>
    <row r="114" spans="1:6" x14ac:dyDescent="0.25">
      <c r="A114" s="3">
        <v>3</v>
      </c>
      <c r="B114" s="18">
        <f>D113/1000</f>
        <v>6.6988796105922024</v>
      </c>
      <c r="C114" s="16">
        <f t="shared" si="0"/>
        <v>0.58077756914663725</v>
      </c>
      <c r="D114" s="11">
        <f t="shared" si="1"/>
        <v>8170.6160956458798</v>
      </c>
    </row>
    <row r="115" spans="1:6" x14ac:dyDescent="0.25">
      <c r="A115" s="3">
        <v>4</v>
      </c>
      <c r="B115" s="18">
        <f t="shared" ref="B115:B121" si="2">D114/1000</f>
        <v>8.1706160956458795</v>
      </c>
      <c r="C115" s="16">
        <f t="shared" si="0"/>
        <v>0.48867486202167032</v>
      </c>
      <c r="D115" s="11">
        <f t="shared" si="1"/>
        <v>7575.2998462143496</v>
      </c>
    </row>
    <row r="116" spans="1:6" x14ac:dyDescent="0.25">
      <c r="A116" s="3">
        <v>5</v>
      </c>
      <c r="B116" s="18">
        <f t="shared" si="2"/>
        <v>7.5752998462143495</v>
      </c>
      <c r="C116" s="16">
        <f t="shared" si="0"/>
        <v>0.52593033453659288</v>
      </c>
      <c r="D116" s="11">
        <f t="shared" si="1"/>
        <v>7830.1362971255685</v>
      </c>
    </row>
    <row r="117" spans="1:6" x14ac:dyDescent="0.25">
      <c r="A117" s="3">
        <v>6</v>
      </c>
      <c r="B117" s="18">
        <f t="shared" si="2"/>
        <v>7.8301362971255681</v>
      </c>
      <c r="C117" s="16">
        <f t="shared" si="0"/>
        <v>0.50998242046270481</v>
      </c>
      <c r="D117" s="11">
        <f t="shared" si="1"/>
        <v>7723.5606724167292</v>
      </c>
    </row>
    <row r="118" spans="1:6" x14ac:dyDescent="0.25">
      <c r="A118" s="3">
        <v>7</v>
      </c>
      <c r="B118" s="18">
        <f t="shared" si="2"/>
        <v>7.7235606724167294</v>
      </c>
      <c r="C118" s="16">
        <f t="shared" si="0"/>
        <v>0.51665202718164172</v>
      </c>
      <c r="D118" s="11">
        <f t="shared" si="1"/>
        <v>7768.5755820413815</v>
      </c>
    </row>
    <row r="119" spans="1:6" x14ac:dyDescent="0.25">
      <c r="A119" s="3">
        <v>8</v>
      </c>
      <c r="B119" s="18">
        <f t="shared" si="2"/>
        <v>7.7685755820413815</v>
      </c>
      <c r="C119" s="16">
        <f t="shared" si="0"/>
        <v>0.51383495015764913</v>
      </c>
      <c r="D119" s="11">
        <f t="shared" si="1"/>
        <v>7749.6412286829482</v>
      </c>
    </row>
    <row r="120" spans="1:6" x14ac:dyDescent="0.25">
      <c r="A120" s="3">
        <v>9</v>
      </c>
      <c r="B120" s="18">
        <f t="shared" si="2"/>
        <v>7.7496412286829486</v>
      </c>
      <c r="C120" s="16">
        <f t="shared" si="0"/>
        <v>0.51501988048973157</v>
      </c>
      <c r="D120" s="11">
        <f t="shared" si="1"/>
        <v>7757.6194447322423</v>
      </c>
    </row>
    <row r="121" spans="1:6" x14ac:dyDescent="0.25">
      <c r="A121" s="3">
        <v>10</v>
      </c>
      <c r="B121" s="18">
        <f t="shared" si="2"/>
        <v>7.7576194447322422</v>
      </c>
      <c r="C121" s="16">
        <f t="shared" si="0"/>
        <v>0.51452059593462929</v>
      </c>
      <c r="D121" s="11">
        <f t="shared" si="1"/>
        <v>7754.2602068605265</v>
      </c>
    </row>
    <row r="123" spans="1:6" x14ac:dyDescent="0.25">
      <c r="A123" s="30" t="s">
        <v>153</v>
      </c>
      <c r="B123" s="30"/>
      <c r="C123" s="31"/>
      <c r="D123" s="30">
        <f>D121/1000</f>
        <v>7.7542602068605264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812049.94990851928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390496.17851202545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1.4420588291176459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538082.42498918297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13553.836467913341</v>
      </c>
    </row>
    <row r="139" spans="1:4" x14ac:dyDescent="0.25">
      <c r="A139" s="3">
        <v>2</v>
      </c>
      <c r="B139" s="18">
        <f>D138/1000</f>
        <v>13.553836467913341</v>
      </c>
      <c r="C139" s="16">
        <f t="shared" si="3"/>
        <v>0.15178767170510865</v>
      </c>
      <c r="D139" s="11">
        <f t="shared" si="4"/>
        <v>11452.991652497913</v>
      </c>
    </row>
    <row r="140" spans="1:4" x14ac:dyDescent="0.25">
      <c r="A140" s="3">
        <v>3</v>
      </c>
      <c r="B140" s="18">
        <f>D139/1000</f>
        <v>11.452991652497913</v>
      </c>
      <c r="C140" s="16">
        <f t="shared" si="3"/>
        <v>0.28326059278456084</v>
      </c>
      <c r="D140" s="11">
        <f t="shared" si="4"/>
        <v>12514.412918454453</v>
      </c>
    </row>
    <row r="141" spans="1:4" x14ac:dyDescent="0.25">
      <c r="A141" s="3">
        <v>4</v>
      </c>
      <c r="B141" s="18">
        <f>D140/1000</f>
        <v>12.514412918454452</v>
      </c>
      <c r="C141" s="16">
        <f t="shared" si="3"/>
        <v>0.21683581294971066</v>
      </c>
      <c r="D141" s="11">
        <f t="shared" si="4"/>
        <v>12117.24688890118</v>
      </c>
    </row>
    <row r="142" spans="1:4" x14ac:dyDescent="0.25">
      <c r="A142" s="3">
        <v>5</v>
      </c>
      <c r="B142" s="18">
        <f>D141/1000</f>
        <v>12.11724688890118</v>
      </c>
      <c r="C142" s="16">
        <f t="shared" si="3"/>
        <v>0.24169085111138044</v>
      </c>
      <c r="D142" s="11">
        <f t="shared" si="4"/>
        <v>12288.273121638462</v>
      </c>
    </row>
    <row r="143" spans="1:4" x14ac:dyDescent="0.25">
      <c r="A143" s="3">
        <v>6</v>
      </c>
      <c r="B143" s="18">
        <f>D142/1000</f>
        <v>12.288273121638461</v>
      </c>
      <c r="C143" s="16">
        <f t="shared" si="3"/>
        <v>0.23098786237361479</v>
      </c>
      <c r="D143" s="11">
        <f t="shared" si="4"/>
        <v>12218.560517885386</v>
      </c>
    </row>
    <row r="144" spans="1:4" ht="18.75" customHeight="1" x14ac:dyDescent="0.25">
      <c r="A144" s="3">
        <v>7</v>
      </c>
      <c r="B144" s="18">
        <f t="shared" ref="B144:B147" si="5">D143/1000</f>
        <v>12.218560517885386</v>
      </c>
      <c r="C144" s="16">
        <f t="shared" si="3"/>
        <v>0.2353505452258744</v>
      </c>
      <c r="D144" s="11">
        <f t="shared" si="4"/>
        <v>12247.645354429413</v>
      </c>
    </row>
    <row r="145" spans="1:5" x14ac:dyDescent="0.25">
      <c r="A145" s="3">
        <v>8</v>
      </c>
      <c r="B145" s="18">
        <f t="shared" si="5"/>
        <v>12.247645354429412</v>
      </c>
      <c r="C145" s="16">
        <f t="shared" si="3"/>
        <v>0.23353038773898949</v>
      </c>
      <c r="D145" s="11">
        <f t="shared" si="4"/>
        <v>12235.626201337203</v>
      </c>
    </row>
    <row r="146" spans="1:5" x14ac:dyDescent="0.25">
      <c r="A146" s="3">
        <v>9</v>
      </c>
      <c r="B146" s="18">
        <f t="shared" si="5"/>
        <v>12.235626201337203</v>
      </c>
      <c r="C146" s="16">
        <f t="shared" si="3"/>
        <v>0.2342825580822433</v>
      </c>
      <c r="D146" s="11">
        <f t="shared" si="4"/>
        <v>12240.612828713807</v>
      </c>
    </row>
    <row r="147" spans="1:5" x14ac:dyDescent="0.25">
      <c r="A147" s="3">
        <v>10</v>
      </c>
      <c r="B147" s="18">
        <f t="shared" si="5"/>
        <v>12.240612828713807</v>
      </c>
      <c r="C147" s="16">
        <f t="shared" si="3"/>
        <v>0.23397049006906767</v>
      </c>
      <c r="D147" s="11">
        <f t="shared" si="4"/>
        <v>12238.547325127331</v>
      </c>
    </row>
    <row r="149" spans="1:5" x14ac:dyDescent="0.25">
      <c r="A149" s="30" t="s">
        <v>152</v>
      </c>
      <c r="B149" s="30"/>
      <c r="C149" s="31"/>
      <c r="D149" s="30">
        <f>D147/1000</f>
        <v>12.23854732512733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7.7542602068605264</v>
      </c>
      <c r="C152" s="28">
        <f>IF(F123=TRUE,D149,MIN(D149,D123))</f>
        <v>7.7542602068605264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3"/>
  <sheetViews>
    <sheetView zoomScale="85" zoomScaleNormal="85" workbookViewId="0"/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Screen'!F10</f>
        <v>110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Screen'!G10</f>
        <v>360.11895800000002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Screen'!H10</f>
        <v>269.85098299999999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314.98497050000003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126787.88134000001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151160.23459000001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138974.05796500001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143498.08914664926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1.2360915103922367E-5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18.721388851979651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3410235.4360690857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68388898.236611292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274894504.17184079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296773359.41848785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35.01303016092082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1.4880301609208217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17.233358691058829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1.4880301609208217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889438742.43788731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4215931064.5116491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868985510.80808508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4208254167.1001363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3336043353.1402779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13518652837.998035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38.42127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14.824861727411616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24.502430107635302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1.6098689808334874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13.001403734939988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0.72843456077825675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13.001403734939988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13.001403734939988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35.01303016092082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2690.6524236895652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807195.72710686957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362538.67482255929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1.4921492180676299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522220.40163798304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9097.9446721854711</v>
      </c>
    </row>
    <row r="113" spans="1:6" x14ac:dyDescent="0.25">
      <c r="A113" s="3">
        <v>2</v>
      </c>
      <c r="B113" s="18">
        <f>D112/1000</f>
        <v>9.0979446721854718</v>
      </c>
      <c r="C113" s="16">
        <f>(1-B113/$C$80)</f>
        <v>0.38630492213204948</v>
      </c>
      <c r="D113" s="11">
        <f t="shared" si="1"/>
        <v>6159.9135136840596</v>
      </c>
    </row>
    <row r="114" spans="1:6" x14ac:dyDescent="0.25">
      <c r="A114" s="3">
        <v>3</v>
      </c>
      <c r="B114" s="18">
        <f>D113/1000</f>
        <v>6.1599135136840593</v>
      </c>
      <c r="C114" s="16">
        <f t="shared" si="0"/>
        <v>0.58448762444143454</v>
      </c>
      <c r="D114" s="11">
        <f t="shared" si="1"/>
        <v>7497.6705542340032</v>
      </c>
    </row>
    <row r="115" spans="1:6" x14ac:dyDescent="0.25">
      <c r="A115" s="3">
        <v>4</v>
      </c>
      <c r="B115" s="18">
        <f t="shared" ref="B115:B121" si="2">D114/1000</f>
        <v>7.497670554234003</v>
      </c>
      <c r="C115" s="16">
        <f t="shared" si="0"/>
        <v>0.4942502201979676</v>
      </c>
      <c r="D115" s="11">
        <f t="shared" si="1"/>
        <v>6959.7702932127149</v>
      </c>
    </row>
    <row r="116" spans="1:6" x14ac:dyDescent="0.25">
      <c r="A116" s="3">
        <v>5</v>
      </c>
      <c r="B116" s="18">
        <f t="shared" si="2"/>
        <v>6.9597702932127152</v>
      </c>
      <c r="C116" s="16">
        <f t="shared" si="0"/>
        <v>0.53053388144970759</v>
      </c>
      <c r="D116" s="11">
        <f t="shared" si="1"/>
        <v>7188.2161221403103</v>
      </c>
    </row>
    <row r="117" spans="1:6" x14ac:dyDescent="0.25">
      <c r="A117" s="3">
        <v>6</v>
      </c>
      <c r="B117" s="18">
        <f t="shared" si="2"/>
        <v>7.18821612214031</v>
      </c>
      <c r="C117" s="16">
        <f t="shared" si="0"/>
        <v>0.51512423830239973</v>
      </c>
      <c r="D117" s="11">
        <f t="shared" si="1"/>
        <v>7093.340314207644</v>
      </c>
    </row>
    <row r="118" spans="1:6" x14ac:dyDescent="0.25">
      <c r="A118" s="3">
        <v>7</v>
      </c>
      <c r="B118" s="18">
        <f t="shared" si="2"/>
        <v>7.0933403142076443</v>
      </c>
      <c r="C118" s="16">
        <f t="shared" si="0"/>
        <v>0.52152401522289793</v>
      </c>
      <c r="D118" s="11">
        <f t="shared" si="1"/>
        <v>7133.1166482538883</v>
      </c>
    </row>
    <row r="119" spans="1:6" x14ac:dyDescent="0.25">
      <c r="A119" s="3">
        <v>8</v>
      </c>
      <c r="B119" s="18">
        <f t="shared" si="2"/>
        <v>7.1331166482538881</v>
      </c>
      <c r="C119" s="16">
        <f t="shared" si="0"/>
        <v>0.51884093225203309</v>
      </c>
      <c r="D119" s="11">
        <f t="shared" si="1"/>
        <v>7116.5059535464443</v>
      </c>
    </row>
    <row r="120" spans="1:6" x14ac:dyDescent="0.25">
      <c r="A120" s="3">
        <v>9</v>
      </c>
      <c r="B120" s="18">
        <f t="shared" si="2"/>
        <v>7.1165059535464446</v>
      </c>
      <c r="C120" s="16">
        <f t="shared" si="0"/>
        <v>0.51996139428485799</v>
      </c>
      <c r="D120" s="11">
        <f t="shared" si="1"/>
        <v>7123.4540421975262</v>
      </c>
    </row>
    <row r="121" spans="1:6" x14ac:dyDescent="0.25">
      <c r="A121" s="3">
        <v>10</v>
      </c>
      <c r="B121" s="18">
        <f t="shared" si="2"/>
        <v>7.1234540421975261</v>
      </c>
      <c r="C121" s="16">
        <f t="shared" si="0"/>
        <v>0.51949271614277215</v>
      </c>
      <c r="D121" s="11">
        <f t="shared" si="1"/>
        <v>7120.5497227661172</v>
      </c>
    </row>
    <row r="123" spans="1:6" x14ac:dyDescent="0.25">
      <c r="A123" s="30" t="s">
        <v>153</v>
      </c>
      <c r="B123" s="30"/>
      <c r="C123" s="31"/>
      <c r="D123" s="30">
        <f>D121/1000</f>
        <v>7.1205497227661168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807195.72710686957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362538.67482255929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1.4921492180676299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522220.40163798304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12536.952497170651</v>
      </c>
    </row>
    <row r="139" spans="1:4" x14ac:dyDescent="0.25">
      <c r="A139" s="3">
        <v>2</v>
      </c>
      <c r="B139" s="18">
        <f>D138/1000</f>
        <v>12.536952497170651</v>
      </c>
      <c r="C139" s="16">
        <f t="shared" si="3"/>
        <v>0.1543292121241544</v>
      </c>
      <c r="D139" s="11">
        <f t="shared" si="4"/>
        <v>10484.588215016147</v>
      </c>
    </row>
    <row r="140" spans="1:4" x14ac:dyDescent="0.25">
      <c r="A140" s="3">
        <v>3</v>
      </c>
      <c r="B140" s="18">
        <f>D139/1000</f>
        <v>10.484588215016148</v>
      </c>
      <c r="C140" s="16">
        <f t="shared" si="3"/>
        <v>0.29276991530856389</v>
      </c>
      <c r="D140" s="11">
        <f t="shared" si="4"/>
        <v>11541.023272955443</v>
      </c>
    </row>
    <row r="141" spans="1:4" x14ac:dyDescent="0.25">
      <c r="A141" s="3">
        <v>4</v>
      </c>
      <c r="B141" s="18">
        <f>D140/1000</f>
        <v>11.541023272955442</v>
      </c>
      <c r="C141" s="16">
        <f t="shared" si="3"/>
        <v>0.22150887575458844</v>
      </c>
      <c r="D141" s="11">
        <f t="shared" si="4"/>
        <v>11138.524595110779</v>
      </c>
    </row>
    <row r="142" spans="1:4" x14ac:dyDescent="0.25">
      <c r="A142" s="3">
        <v>5</v>
      </c>
      <c r="B142" s="18">
        <f>D141/1000</f>
        <v>11.138524595110779</v>
      </c>
      <c r="C142" s="16">
        <f t="shared" si="3"/>
        <v>0.24865912411747415</v>
      </c>
      <c r="D142" s="11">
        <f t="shared" si="4"/>
        <v>11315.551620636761</v>
      </c>
    </row>
    <row r="143" spans="1:4" x14ac:dyDescent="0.25">
      <c r="A143" s="3">
        <v>6</v>
      </c>
      <c r="B143" s="18">
        <f>D142/1000</f>
        <v>11.315551620636761</v>
      </c>
      <c r="C143" s="16">
        <f t="shared" si="3"/>
        <v>0.23671789803516585</v>
      </c>
      <c r="D143" s="11">
        <f t="shared" si="4"/>
        <v>11242.017094750852</v>
      </c>
    </row>
    <row r="144" spans="1:4" ht="18.75" customHeight="1" x14ac:dyDescent="0.25">
      <c r="A144" s="3">
        <v>7</v>
      </c>
      <c r="B144" s="18">
        <f t="shared" ref="B144:B147" si="5">D143/1000</f>
        <v>11.242017094750853</v>
      </c>
      <c r="C144" s="16">
        <f t="shared" si="3"/>
        <v>0.24167811467920641</v>
      </c>
      <c r="D144" s="11">
        <f t="shared" si="4"/>
        <v>11273.327341034406</v>
      </c>
    </row>
    <row r="145" spans="1:5" x14ac:dyDescent="0.25">
      <c r="A145" s="3">
        <v>8</v>
      </c>
      <c r="B145" s="18">
        <f t="shared" si="5"/>
        <v>11.273327341034406</v>
      </c>
      <c r="C145" s="16">
        <f t="shared" si="3"/>
        <v>0.2395661053492536</v>
      </c>
      <c r="D145" s="11">
        <f t="shared" si="4"/>
        <v>11260.133031320085</v>
      </c>
    </row>
    <row r="146" spans="1:5" x14ac:dyDescent="0.25">
      <c r="A146" s="3">
        <v>9</v>
      </c>
      <c r="B146" s="18">
        <f t="shared" si="5"/>
        <v>11.260133031320086</v>
      </c>
      <c r="C146" s="16">
        <f t="shared" si="3"/>
        <v>0.24045611767833486</v>
      </c>
      <c r="D146" s="11">
        <f t="shared" si="4"/>
        <v>11265.717670304528</v>
      </c>
    </row>
    <row r="147" spans="1:5" x14ac:dyDescent="0.25">
      <c r="A147" s="3">
        <v>10</v>
      </c>
      <c r="B147" s="18">
        <f t="shared" si="5"/>
        <v>11.265717670304529</v>
      </c>
      <c r="C147" s="16">
        <f t="shared" si="3"/>
        <v>0.2400794100174386</v>
      </c>
      <c r="D147" s="11">
        <f t="shared" si="4"/>
        <v>11263.358287725949</v>
      </c>
    </row>
    <row r="149" spans="1:5" x14ac:dyDescent="0.25">
      <c r="A149" s="30" t="s">
        <v>152</v>
      </c>
      <c r="B149" s="30"/>
      <c r="C149" s="31"/>
      <c r="D149" s="30">
        <f>D147/1000</f>
        <v>11.263358287725948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7.1205497227661168</v>
      </c>
      <c r="C152" s="28">
        <f>IF(F123=TRUE,D149,MIN(D149,D123))</f>
        <v>7.1205497227661168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3"/>
  <sheetViews>
    <sheetView zoomScale="85" zoomScaleNormal="85" workbookViewId="0">
      <selection activeCell="F1" sqref="F1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Screen'!F11</f>
        <v>150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Screen'!G11</f>
        <v>415.96163899999999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Screen'!H11</f>
        <v>350.82693499999999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383.39428699999996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111710.35747000002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129296.72755000001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120503.54251000001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124426.301849385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279.78003029725545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1.2788734555138875E-5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13.976349660797689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3004692.6850882811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58497267.927161448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235134325.55396539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257330336.72750506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34.76329580739926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1.2382958073992612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12.738053853398428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1.2382958073992612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771252219.02685153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3661778531.1013961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756408173.56927121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3655914349.1282072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2887436365.063477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11732789637.889202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38.42127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12.866443583018542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21.245904964632619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1.7280511687258577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11.283871022307263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0.72877159912796685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11.283871022307263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11.283871022307263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34.76329580739926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2712.4900063219638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813747.00189658918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314355.03325377294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1.6089201528350512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499206.57478930446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8761.2727309312486</v>
      </c>
    </row>
    <row r="113" spans="1:6" x14ac:dyDescent="0.25">
      <c r="A113" s="3">
        <v>2</v>
      </c>
      <c r="B113" s="18">
        <f>D112/1000</f>
        <v>8.7612727309312479</v>
      </c>
      <c r="C113" s="16">
        <f>(1-B113/$C$80)</f>
        <v>0.31906026133790399</v>
      </c>
      <c r="D113" s="11">
        <f t="shared" si="1"/>
        <v>5931.3282904108992</v>
      </c>
    </row>
    <row r="114" spans="1:6" x14ac:dyDescent="0.25">
      <c r="A114" s="3">
        <v>3</v>
      </c>
      <c r="B114" s="18">
        <f>D113/1000</f>
        <v>5.9313282904108995</v>
      </c>
      <c r="C114" s="16">
        <f t="shared" si="0"/>
        <v>0.53900794324865209</v>
      </c>
      <c r="D114" s="11">
        <f t="shared" si="1"/>
        <v>7354.9962423377083</v>
      </c>
    </row>
    <row r="115" spans="1:6" x14ac:dyDescent="0.25">
      <c r="A115" s="3">
        <v>4</v>
      </c>
      <c r="B115" s="18">
        <f t="shared" ref="B115:B121" si="2">D114/1000</f>
        <v>7.354996242337708</v>
      </c>
      <c r="C115" s="16">
        <f t="shared" si="0"/>
        <v>0.42835825650803627</v>
      </c>
      <c r="D115" s="11">
        <f t="shared" si="1"/>
        <v>6748.0741241690912</v>
      </c>
    </row>
    <row r="116" spans="1:6" x14ac:dyDescent="0.25">
      <c r="A116" s="3">
        <v>5</v>
      </c>
      <c r="B116" s="18">
        <f t="shared" si="2"/>
        <v>6.7480741241690909</v>
      </c>
      <c r="C116" s="16">
        <f t="shared" si="0"/>
        <v>0.47552918717372916</v>
      </c>
      <c r="D116" s="11">
        <f t="shared" si="1"/>
        <v>7028.3233936241977</v>
      </c>
    </row>
    <row r="117" spans="1:6" x14ac:dyDescent="0.25">
      <c r="A117" s="3">
        <v>6</v>
      </c>
      <c r="B117" s="18">
        <f t="shared" si="2"/>
        <v>7.0283233936241976</v>
      </c>
      <c r="C117" s="16">
        <f t="shared" si="0"/>
        <v>0.45374777822052115</v>
      </c>
      <c r="D117" s="11">
        <f t="shared" si="1"/>
        <v>6903.3468543228164</v>
      </c>
    </row>
    <row r="118" spans="1:6" x14ac:dyDescent="0.25">
      <c r="A118" s="3">
        <v>7</v>
      </c>
      <c r="B118" s="18">
        <f t="shared" si="2"/>
        <v>6.903346854322816</v>
      </c>
      <c r="C118" s="16">
        <f t="shared" si="0"/>
        <v>0.46346114916836634</v>
      </c>
      <c r="D118" s="11">
        <f t="shared" si="1"/>
        <v>6959.9749929937961</v>
      </c>
    </row>
    <row r="119" spans="1:6" x14ac:dyDescent="0.25">
      <c r="A119" s="3">
        <v>8</v>
      </c>
      <c r="B119" s="18">
        <f t="shared" si="2"/>
        <v>6.9599749929937964</v>
      </c>
      <c r="C119" s="16">
        <f t="shared" si="0"/>
        <v>0.45905992218550995</v>
      </c>
      <c r="D119" s="11">
        <f t="shared" si="1"/>
        <v>6934.4986793442195</v>
      </c>
    </row>
    <row r="120" spans="1:6" x14ac:dyDescent="0.25">
      <c r="A120" s="3">
        <v>9</v>
      </c>
      <c r="B120" s="18">
        <f t="shared" si="2"/>
        <v>6.9344986793442196</v>
      </c>
      <c r="C120" s="16">
        <f t="shared" si="0"/>
        <v>0.46103998089289056</v>
      </c>
      <c r="D120" s="11">
        <f t="shared" si="1"/>
        <v>6945.9972155865598</v>
      </c>
    </row>
    <row r="121" spans="1:6" x14ac:dyDescent="0.25">
      <c r="A121" s="3">
        <v>10</v>
      </c>
      <c r="B121" s="18">
        <f t="shared" si="2"/>
        <v>6.9459972155865595</v>
      </c>
      <c r="C121" s="16">
        <f t="shared" si="0"/>
        <v>0.46014629677822838</v>
      </c>
      <c r="D121" s="11">
        <f t="shared" si="1"/>
        <v>6940.8149773424566</v>
      </c>
    </row>
    <row r="123" spans="1:6" x14ac:dyDescent="0.25">
      <c r="A123" s="30" t="s">
        <v>153</v>
      </c>
      <c r="B123" s="30"/>
      <c r="C123" s="31"/>
      <c r="D123" s="30">
        <f>D121/1000</f>
        <v>6.9408149773424563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758900.53614976164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314355.03325377294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1.5537538602055074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477189.52894861682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10962.863207181837</v>
      </c>
    </row>
    <row r="139" spans="1:4" x14ac:dyDescent="0.25">
      <c r="A139" s="3">
        <v>2</v>
      </c>
      <c r="B139" s="18">
        <f>D138/1000</f>
        <v>10.962863207181837</v>
      </c>
      <c r="C139" s="16">
        <f t="shared" si="3"/>
        <v>0.14794922649403286</v>
      </c>
      <c r="D139" s="11">
        <f t="shared" si="4"/>
        <v>9419.5916734647926</v>
      </c>
    </row>
    <row r="140" spans="1:4" x14ac:dyDescent="0.25">
      <c r="A140" s="3">
        <v>3</v>
      </c>
      <c r="B140" s="18">
        <f>D139/1000</f>
        <v>9.419591673464792</v>
      </c>
      <c r="C140" s="16">
        <f t="shared" si="3"/>
        <v>0.26789468957086116</v>
      </c>
      <c r="D140" s="11">
        <f t="shared" si="4"/>
        <v>10172.047436736937</v>
      </c>
    </row>
    <row r="141" spans="1:4" x14ac:dyDescent="0.25">
      <c r="A141" s="3">
        <v>4</v>
      </c>
      <c r="B141" s="18">
        <f>D140/1000</f>
        <v>10.172047436736937</v>
      </c>
      <c r="C141" s="16">
        <f t="shared" si="3"/>
        <v>0.20941265773222195</v>
      </c>
      <c r="D141" s="11">
        <f t="shared" si="4"/>
        <v>9899.6413822573941</v>
      </c>
    </row>
    <row r="142" spans="1:4" x14ac:dyDescent="0.25">
      <c r="A142" s="3">
        <v>5</v>
      </c>
      <c r="B142" s="18">
        <f>D141/1000</f>
        <v>9.8996413822573945</v>
      </c>
      <c r="C142" s="16">
        <f t="shared" si="3"/>
        <v>0.23058447982290986</v>
      </c>
      <c r="D142" s="11">
        <f t="shared" si="4"/>
        <v>10012.417501291466</v>
      </c>
    </row>
    <row r="143" spans="1:4" x14ac:dyDescent="0.25">
      <c r="A143" s="3">
        <v>6</v>
      </c>
      <c r="B143" s="18">
        <f>D142/1000</f>
        <v>10.012417501291466</v>
      </c>
      <c r="C143" s="16">
        <f t="shared" si="3"/>
        <v>0.22181934450743579</v>
      </c>
      <c r="D143" s="11">
        <f t="shared" si="4"/>
        <v>9968.0350648340373</v>
      </c>
    </row>
    <row r="144" spans="1:4" ht="18.75" customHeight="1" x14ac:dyDescent="0.25">
      <c r="A144" s="3">
        <v>7</v>
      </c>
      <c r="B144" s="18">
        <f t="shared" ref="B144:B147" si="5">D143/1000</f>
        <v>9.9680350648340372</v>
      </c>
      <c r="C144" s="16">
        <f t="shared" si="3"/>
        <v>0.22526881647465491</v>
      </c>
      <c r="D144" s="11">
        <f t="shared" si="4"/>
        <v>9985.8662793747662</v>
      </c>
    </row>
    <row r="145" spans="1:5" x14ac:dyDescent="0.25">
      <c r="A145" s="3">
        <v>8</v>
      </c>
      <c r="B145" s="18">
        <f t="shared" si="5"/>
        <v>9.9858662793747666</v>
      </c>
      <c r="C145" s="16">
        <f t="shared" si="3"/>
        <v>0.22388294675660292</v>
      </c>
      <c r="D145" s="11">
        <f t="shared" si="4"/>
        <v>9978.7607544507955</v>
      </c>
    </row>
    <row r="146" spans="1:5" x14ac:dyDescent="0.25">
      <c r="A146" s="3">
        <v>9</v>
      </c>
      <c r="B146" s="18">
        <f t="shared" si="5"/>
        <v>9.9787607544507964</v>
      </c>
      <c r="C146" s="16">
        <f t="shared" si="3"/>
        <v>0.22443519920135369</v>
      </c>
      <c r="D146" s="11">
        <f t="shared" si="4"/>
        <v>9981.6015239620865</v>
      </c>
    </row>
    <row r="147" spans="1:5" x14ac:dyDescent="0.25">
      <c r="A147" s="3">
        <v>10</v>
      </c>
      <c r="B147" s="18">
        <f t="shared" si="5"/>
        <v>9.9816015239620857</v>
      </c>
      <c r="C147" s="16">
        <f t="shared" si="3"/>
        <v>0.22421441017811206</v>
      </c>
      <c r="D147" s="11">
        <f t="shared" si="4"/>
        <v>9980.4672770975158</v>
      </c>
    </row>
    <row r="149" spans="1:5" x14ac:dyDescent="0.25">
      <c r="A149" s="30" t="s">
        <v>152</v>
      </c>
      <c r="B149" s="30"/>
      <c r="C149" s="31"/>
      <c r="D149" s="30">
        <f>D147/1000</f>
        <v>9.9804672770975156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6.9408149773424563</v>
      </c>
      <c r="C152" s="28">
        <f>IF(F123=TRUE,D149,MIN(D149,D123))</f>
        <v>6.9408149773424563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3"/>
  <sheetViews>
    <sheetView zoomScale="85" zoomScaleNormal="85" workbookViewId="0">
      <selection activeCell="G13" sqref="G13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Screen'!F12</f>
        <v>170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128.07089999999999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92565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Screen'!G12</f>
        <v>453.06225599999999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Screen'!H12</f>
        <v>392.67617799999999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0.44588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0.30601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2761.0738255033557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422.86921699999999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79.083780749999988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35.261876160809997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521735.75432885904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101693.19088000002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117997.43194000001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109845.31141000002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113421.11268725684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246.61575516508705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273.39168003736643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282.24656606911981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1.3011778529668035E-5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13.183393845826499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2735259.2336165435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53385166.98531229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214585837.56949717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234570124.53162739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34.784409810879247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1.259409810879248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11.923984034947251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1.259409810879248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703045364.06239426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3337473796.6510739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689289665.98057389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3332060461.830698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2632418971.3429203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10694288259.867661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36.147571738381636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11.727599386234234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19.366758838925151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1.7556381241810859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10.285104661727424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0.72874549901235697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10.285104661727424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10.285104661727424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128.07089999999999</v>
      </c>
      <c r="D94" s="3" t="s">
        <v>49</v>
      </c>
    </row>
    <row r="95" spans="1:4" ht="17.25" x14ac:dyDescent="0.3">
      <c r="B95" s="2" t="s">
        <v>105</v>
      </c>
      <c r="C95" s="16">
        <f>C60</f>
        <v>34.784409810879247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2710.6493672788301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741068.9845125837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286551.13203992392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1.6081562926392776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454774.04294902261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8100.6053697197249</v>
      </c>
    </row>
    <row r="113" spans="1:6" x14ac:dyDescent="0.25">
      <c r="A113" s="3">
        <v>2</v>
      </c>
      <c r="B113" s="18">
        <f>D112/1000</f>
        <v>8.1006053697197249</v>
      </c>
      <c r="C113" s="16">
        <f>(1-B113/$C$80)</f>
        <v>0.30926994494472981</v>
      </c>
      <c r="D113" s="11">
        <f t="shared" si="1"/>
        <v>5494.2963384792056</v>
      </c>
    </row>
    <row r="114" spans="1:6" x14ac:dyDescent="0.25">
      <c r="A114" s="3">
        <v>3</v>
      </c>
      <c r="B114" s="18">
        <f>D113/1000</f>
        <v>5.4942963384792058</v>
      </c>
      <c r="C114" s="16">
        <f t="shared" si="0"/>
        <v>0.53150716037176637</v>
      </c>
      <c r="D114" s="11">
        <f t="shared" si="1"/>
        <v>6823.2089320025716</v>
      </c>
    </row>
    <row r="115" spans="1:6" x14ac:dyDescent="0.25">
      <c r="A115" s="3">
        <v>4</v>
      </c>
      <c r="B115" s="18">
        <f t="shared" ref="B115:B121" si="2">D114/1000</f>
        <v>6.8232089320025713</v>
      </c>
      <c r="C115" s="16">
        <f t="shared" si="0"/>
        <v>0.41819218858962715</v>
      </c>
      <c r="D115" s="11">
        <f t="shared" si="1"/>
        <v>6252.9144938623458</v>
      </c>
    </row>
    <row r="116" spans="1:6" x14ac:dyDescent="0.25">
      <c r="A116" s="3">
        <v>5</v>
      </c>
      <c r="B116" s="18">
        <f t="shared" si="2"/>
        <v>6.2529144938623462</v>
      </c>
      <c r="C116" s="16">
        <f t="shared" si="0"/>
        <v>0.46682059235396722</v>
      </c>
      <c r="D116" s="11">
        <f t="shared" si="1"/>
        <v>6519.1482739011826</v>
      </c>
    </row>
    <row r="117" spans="1:6" x14ac:dyDescent="0.25">
      <c r="A117" s="3">
        <v>6</v>
      </c>
      <c r="B117" s="18">
        <f t="shared" si="2"/>
        <v>6.519148273901183</v>
      </c>
      <c r="C117" s="16">
        <f t="shared" si="0"/>
        <v>0.44411911942069671</v>
      </c>
      <c r="D117" s="11">
        <f t="shared" si="1"/>
        <v>6399.3753311809869</v>
      </c>
    </row>
    <row r="118" spans="1:6" x14ac:dyDescent="0.25">
      <c r="A118" s="3">
        <v>7</v>
      </c>
      <c r="B118" s="18">
        <f t="shared" si="2"/>
        <v>6.3993753311809867</v>
      </c>
      <c r="C118" s="16">
        <f t="shared" si="0"/>
        <v>0.45433203160976621</v>
      </c>
      <c r="D118" s="11">
        <f t="shared" si="1"/>
        <v>6454.1880934776873</v>
      </c>
    </row>
    <row r="119" spans="1:6" x14ac:dyDescent="0.25">
      <c r="A119" s="3">
        <v>8</v>
      </c>
      <c r="B119" s="18">
        <f t="shared" si="2"/>
        <v>6.4541880934776872</v>
      </c>
      <c r="C119" s="16">
        <f t="shared" si="0"/>
        <v>0.44965820532260303</v>
      </c>
      <c r="D119" s="11">
        <f t="shared" si="1"/>
        <v>6429.2967981770416</v>
      </c>
    </row>
    <row r="120" spans="1:6" x14ac:dyDescent="0.25">
      <c r="A120" s="3">
        <v>9</v>
      </c>
      <c r="B120" s="18">
        <f t="shared" si="2"/>
        <v>6.4292967981770417</v>
      </c>
      <c r="C120" s="16">
        <f t="shared" si="0"/>
        <v>0.4517806597551669</v>
      </c>
      <c r="D120" s="11">
        <f t="shared" si="1"/>
        <v>6440.6402819188188</v>
      </c>
    </row>
    <row r="121" spans="1:6" x14ac:dyDescent="0.25">
      <c r="A121" s="3">
        <v>10</v>
      </c>
      <c r="B121" s="18">
        <f t="shared" si="2"/>
        <v>6.4406402819188191</v>
      </c>
      <c r="C121" s="16">
        <f t="shared" si="0"/>
        <v>0.45081341289004184</v>
      </c>
      <c r="D121" s="11">
        <f t="shared" si="1"/>
        <v>6435.4791077793643</v>
      </c>
    </row>
    <row r="123" spans="1:6" x14ac:dyDescent="0.25">
      <c r="A123" s="30" t="s">
        <v>153</v>
      </c>
      <c r="B123" s="30"/>
      <c r="C123" s="31"/>
      <c r="D123" s="30">
        <f>D121/1000</f>
        <v>6.435479107779364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668488.84069923405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286551.13203992392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1.5273761917150115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425444.20800254156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9981.2145538924924</v>
      </c>
    </row>
    <row r="139" spans="1:4" x14ac:dyDescent="0.25">
      <c r="A139" s="3">
        <v>2</v>
      </c>
      <c r="B139" s="18">
        <f>D138/1000</f>
        <v>9.9812145538924923</v>
      </c>
      <c r="C139" s="16">
        <f t="shared" si="3"/>
        <v>0.1489123881901725</v>
      </c>
      <c r="D139" s="11">
        <f t="shared" si="4"/>
        <v>8539.2033235324052</v>
      </c>
    </row>
    <row r="140" spans="1:4" x14ac:dyDescent="0.25">
      <c r="A140" s="3">
        <v>3</v>
      </c>
      <c r="B140" s="18">
        <f>D139/1000</f>
        <v>8.539203323532405</v>
      </c>
      <c r="C140" s="16">
        <f t="shared" si="3"/>
        <v>0.27187116115548282</v>
      </c>
      <c r="D140" s="11">
        <f t="shared" si="4"/>
        <v>9249.2977807334319</v>
      </c>
    </row>
    <row r="141" spans="1:4" x14ac:dyDescent="0.25">
      <c r="A141" s="3">
        <v>4</v>
      </c>
      <c r="B141" s="18">
        <f>D140/1000</f>
        <v>9.249297780733432</v>
      </c>
      <c r="C141" s="16">
        <f t="shared" si="3"/>
        <v>0.2113221575772628</v>
      </c>
      <c r="D141" s="11">
        <f t="shared" si="4"/>
        <v>8989.8880143467723</v>
      </c>
    </row>
    <row r="142" spans="1:4" x14ac:dyDescent="0.25">
      <c r="A142" s="3">
        <v>5</v>
      </c>
      <c r="B142" s="18">
        <f>D141/1000</f>
        <v>8.9898880143467714</v>
      </c>
      <c r="C142" s="16">
        <f t="shared" si="3"/>
        <v>0.2334417540814846</v>
      </c>
      <c r="D142" s="11">
        <f t="shared" si="4"/>
        <v>9098.4555658507797</v>
      </c>
    </row>
    <row r="143" spans="1:4" x14ac:dyDescent="0.25">
      <c r="A143" s="3">
        <v>6</v>
      </c>
      <c r="B143" s="18">
        <f>D142/1000</f>
        <v>9.0984555658507791</v>
      </c>
      <c r="C143" s="16">
        <f t="shared" si="3"/>
        <v>0.22418431375388925</v>
      </c>
      <c r="D143" s="11">
        <f t="shared" si="4"/>
        <v>9055.3133170974415</v>
      </c>
    </row>
    <row r="144" spans="1:4" ht="18.75" customHeight="1" x14ac:dyDescent="0.25">
      <c r="A144" s="3">
        <v>7</v>
      </c>
      <c r="B144" s="18">
        <f t="shared" ref="B144:B147" si="5">D143/1000</f>
        <v>9.0553133170974416</v>
      </c>
      <c r="C144" s="16">
        <f t="shared" si="3"/>
        <v>0.22786300769051682</v>
      </c>
      <c r="D144" s="11">
        <f t="shared" si="4"/>
        <v>9072.8273109258389</v>
      </c>
    </row>
    <row r="145" spans="1:5" x14ac:dyDescent="0.25">
      <c r="A145" s="3">
        <v>8</v>
      </c>
      <c r="B145" s="18">
        <f t="shared" si="5"/>
        <v>9.0728273109258382</v>
      </c>
      <c r="C145" s="16">
        <f t="shared" si="3"/>
        <v>0.22636960795442473</v>
      </c>
      <c r="D145" s="11">
        <f t="shared" si="4"/>
        <v>9065.7778436343033</v>
      </c>
    </row>
    <row r="146" spans="1:5" x14ac:dyDescent="0.25">
      <c r="A146" s="3">
        <v>9</v>
      </c>
      <c r="B146" s="18">
        <f t="shared" si="5"/>
        <v>9.0657778436343026</v>
      </c>
      <c r="C146" s="16">
        <f t="shared" si="3"/>
        <v>0.22697070857692814</v>
      </c>
      <c r="D146" s="11">
        <f t="shared" si="4"/>
        <v>9068.625123940179</v>
      </c>
    </row>
    <row r="147" spans="1:5" x14ac:dyDescent="0.25">
      <c r="A147" s="3">
        <v>10</v>
      </c>
      <c r="B147" s="18">
        <f t="shared" si="5"/>
        <v>9.0686251239401798</v>
      </c>
      <c r="C147" s="16">
        <f t="shared" si="3"/>
        <v>0.22672792399569319</v>
      </c>
      <c r="D147" s="11">
        <f t="shared" si="4"/>
        <v>9067.476709533461</v>
      </c>
    </row>
    <row r="149" spans="1:5" x14ac:dyDescent="0.25">
      <c r="A149" s="30" t="s">
        <v>152</v>
      </c>
      <c r="B149" s="30"/>
      <c r="C149" s="31"/>
      <c r="D149" s="30">
        <f>D147/1000</f>
        <v>9.0674767095334605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6.435479107779364</v>
      </c>
      <c r="C152" s="28">
        <f>IF(F123=TRUE,D149,MIN(D149,D123))</f>
        <v>6.435479107779364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Input-Output Screen</vt:lpstr>
      <vt:lpstr>Sheet7</vt:lpstr>
      <vt:lpstr>DSM-AS4600 (SA, 2005)-Ambient</vt:lpstr>
      <vt:lpstr>DSM -Temp (Sheet 1) </vt:lpstr>
      <vt:lpstr>DSM -Temp (Sheet 2)</vt:lpstr>
      <vt:lpstr>DSM -Temp (Sheet 3)</vt:lpstr>
      <vt:lpstr>DSM -Temp (Sheet 4)</vt:lpstr>
      <vt:lpstr>DSM -Temp (Sheet 5)</vt:lpstr>
      <vt:lpstr>DSM -Temp (Sheet 6)</vt:lpstr>
      <vt:lpstr>DSM -Temp (Sheet 7)</vt:lpstr>
      <vt:lpstr>DSM -Temp (Sheet 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2020-03-22T10:01:51Z</dcterms:modified>
</cp:coreProperties>
</file>