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9A4D9CA2-DAC3-480B-8C16-A55ECD5FE5D4}" xr6:coauthVersionLast="45" xr6:coauthVersionMax="45" xr10:uidLastSave="{00000000-0000-0000-0000-000000000000}"/>
  <bookViews>
    <workbookView xWindow="28680" yWindow="-120" windowWidth="29040" windowHeight="15840" tabRatio="900" xr2:uid="{00000000-000D-0000-FFFF-FFFF00000000}"/>
  </bookViews>
  <sheets>
    <sheet name="Input-Output Screen" sheetId="9" r:id="rId1"/>
    <sheet name="Sheet7" sheetId="16" r:id="rId2"/>
    <sheet name="DSM-AS4600 (SA, 2005)-Ambient" sheetId="8" r:id="rId3"/>
    <sheet name="DSM -Temp (Sheet 1) " sheetId="7" r:id="rId4"/>
    <sheet name="DSM -Temp (Sheet 2)" sheetId="10" r:id="rId5"/>
    <sheet name="DSM -Temp (Sheet 3)" sheetId="11" r:id="rId6"/>
    <sheet name="DSM -Temp (Sheet 4)" sheetId="12" r:id="rId7"/>
    <sheet name="DSM -Temp (Sheet 5)" sheetId="13" r:id="rId8"/>
    <sheet name="DSM -Temp (Sheet 6)" sheetId="14" r:id="rId9"/>
    <sheet name="DSM -Temp (Sheet 7)" sheetId="17" r:id="rId10"/>
    <sheet name="DSM -Temp (Sheet 8)" sheetId="18" r:id="rId11"/>
    <sheet name="DSM -Temp (Sheet 9)" sheetId="19" r:id="rId12"/>
    <sheet name="DSM -Temp (Sheet 10)" sheetId="2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8" l="1"/>
  <c r="C8" i="8"/>
  <c r="C7" i="8"/>
  <c r="C6" i="8"/>
  <c r="C5" i="8"/>
  <c r="C14" i="20" l="1"/>
  <c r="C13" i="20"/>
  <c r="C2" i="20"/>
  <c r="C56" i="20"/>
  <c r="C25" i="20"/>
  <c r="C22" i="20"/>
  <c r="C18" i="20"/>
  <c r="C44" i="20" s="1"/>
  <c r="C17" i="20"/>
  <c r="C39" i="20" s="1"/>
  <c r="C12" i="20"/>
  <c r="C11" i="20"/>
  <c r="C94" i="20" s="1"/>
  <c r="C10" i="20"/>
  <c r="C9" i="20"/>
  <c r="C8" i="20"/>
  <c r="C6" i="20"/>
  <c r="C5" i="20"/>
  <c r="C14" i="19"/>
  <c r="C13" i="19"/>
  <c r="C2" i="19"/>
  <c r="C14" i="18"/>
  <c r="C13" i="18"/>
  <c r="C2" i="18"/>
  <c r="C17" i="18"/>
  <c r="C14" i="17"/>
  <c r="C13" i="17"/>
  <c r="C2" i="17"/>
  <c r="C14" i="14"/>
  <c r="C13" i="14"/>
  <c r="C2" i="14"/>
  <c r="C14" i="13"/>
  <c r="C13" i="13"/>
  <c r="C2" i="13"/>
  <c r="C56" i="19"/>
  <c r="C25" i="19"/>
  <c r="C22" i="19"/>
  <c r="C18" i="19"/>
  <c r="C44" i="19" s="1"/>
  <c r="C17" i="19"/>
  <c r="C12" i="19"/>
  <c r="C11" i="19"/>
  <c r="C10" i="19"/>
  <c r="C9" i="19"/>
  <c r="C8" i="19"/>
  <c r="C6" i="19"/>
  <c r="C5" i="19"/>
  <c r="C56" i="18"/>
  <c r="C25" i="18"/>
  <c r="C22" i="18"/>
  <c r="C18" i="18"/>
  <c r="C12" i="18"/>
  <c r="C29" i="18" s="1"/>
  <c r="C11" i="18"/>
  <c r="C10" i="18"/>
  <c r="C9" i="18"/>
  <c r="C8" i="18"/>
  <c r="C6" i="18"/>
  <c r="C5" i="18"/>
  <c r="C14" i="12"/>
  <c r="C13" i="12"/>
  <c r="C2" i="12"/>
  <c r="C14" i="11"/>
  <c r="C13" i="11"/>
  <c r="C2" i="11"/>
  <c r="C45" i="18" l="1"/>
  <c r="C35" i="18"/>
  <c r="C45" i="19"/>
  <c r="C29" i="19"/>
  <c r="C35" i="19" s="1"/>
  <c r="C44" i="18"/>
  <c r="C45" i="20"/>
  <c r="C29" i="20"/>
  <c r="C35" i="20" s="1"/>
  <c r="C30" i="20"/>
  <c r="C46" i="20" s="1"/>
  <c r="C55" i="20"/>
  <c r="C33" i="20"/>
  <c r="C34" i="20" s="1"/>
  <c r="C40" i="20"/>
  <c r="C51" i="20"/>
  <c r="C52" i="20" s="1"/>
  <c r="C41" i="20"/>
  <c r="C42" i="20" s="1"/>
  <c r="C30" i="19"/>
  <c r="C46" i="19" s="1"/>
  <c r="C39" i="19"/>
  <c r="C47" i="19"/>
  <c r="C79" i="19" s="1"/>
  <c r="C55" i="19"/>
  <c r="C51" i="19"/>
  <c r="C52" i="19" s="1"/>
  <c r="C33" i="19"/>
  <c r="C34" i="19" s="1"/>
  <c r="C40" i="19"/>
  <c r="C94" i="19"/>
  <c r="C41" i="19"/>
  <c r="C102" i="19" s="1"/>
  <c r="C128" i="19" s="1"/>
  <c r="C30" i="18"/>
  <c r="C39" i="18"/>
  <c r="C33" i="18"/>
  <c r="C34" i="18" s="1"/>
  <c r="C40" i="18"/>
  <c r="C94" i="18"/>
  <c r="C56" i="17"/>
  <c r="C25" i="17"/>
  <c r="C22" i="17"/>
  <c r="C18" i="17"/>
  <c r="C17" i="17"/>
  <c r="C12" i="17"/>
  <c r="C11" i="17"/>
  <c r="C10" i="17"/>
  <c r="C9" i="17"/>
  <c r="C8" i="17"/>
  <c r="C6" i="17"/>
  <c r="C5" i="17"/>
  <c r="C47" i="20" l="1"/>
  <c r="C79" i="20" s="1"/>
  <c r="C81" i="20"/>
  <c r="C58" i="20"/>
  <c r="C57" i="20"/>
  <c r="C59" i="20"/>
  <c r="C102" i="20"/>
  <c r="C128" i="20" s="1"/>
  <c r="C81" i="19"/>
  <c r="C57" i="19"/>
  <c r="C58" i="19"/>
  <c r="C59" i="19"/>
  <c r="C42" i="19"/>
  <c r="C46" i="18"/>
  <c r="C41" i="18"/>
  <c r="C42" i="18" s="1"/>
  <c r="C51" i="18"/>
  <c r="C52" i="18" s="1"/>
  <c r="C55" i="18"/>
  <c r="C58" i="18"/>
  <c r="C57" i="18"/>
  <c r="C29" i="17"/>
  <c r="C35" i="17" s="1"/>
  <c r="C33" i="17"/>
  <c r="C44" i="17"/>
  <c r="C45" i="17"/>
  <c r="C40" i="17"/>
  <c r="C58" i="17" s="1"/>
  <c r="C34" i="17"/>
  <c r="C30" i="17"/>
  <c r="C39" i="17"/>
  <c r="C94" i="17"/>
  <c r="Q12" i="9"/>
  <c r="Q11" i="9"/>
  <c r="C2" i="10"/>
  <c r="C56" i="14"/>
  <c r="C25" i="14"/>
  <c r="C22" i="14"/>
  <c r="C18" i="14"/>
  <c r="C17" i="14"/>
  <c r="C12" i="14"/>
  <c r="C11" i="14"/>
  <c r="C10" i="14"/>
  <c r="C9" i="14"/>
  <c r="C8" i="14"/>
  <c r="C6" i="14"/>
  <c r="C5" i="14"/>
  <c r="C56" i="13"/>
  <c r="C25" i="13"/>
  <c r="C22" i="13"/>
  <c r="C18" i="13"/>
  <c r="C17" i="13"/>
  <c r="C12" i="13"/>
  <c r="C11" i="13"/>
  <c r="C10" i="13"/>
  <c r="C9" i="13"/>
  <c r="C8" i="13"/>
  <c r="C6" i="13"/>
  <c r="C5" i="13"/>
  <c r="C56" i="12"/>
  <c r="C25" i="12"/>
  <c r="C22" i="12"/>
  <c r="C18" i="12"/>
  <c r="C17" i="12"/>
  <c r="C12" i="12"/>
  <c r="C11" i="12"/>
  <c r="C94" i="12" s="1"/>
  <c r="C10" i="12"/>
  <c r="C9" i="12"/>
  <c r="C8" i="12"/>
  <c r="C6" i="12"/>
  <c r="C5" i="12"/>
  <c r="C56" i="11"/>
  <c r="C25" i="11"/>
  <c r="C22" i="11"/>
  <c r="C18" i="11"/>
  <c r="C17" i="11"/>
  <c r="C12" i="11"/>
  <c r="C11" i="11"/>
  <c r="C94" i="11" s="1"/>
  <c r="C10" i="11"/>
  <c r="C9" i="11"/>
  <c r="C8" i="11"/>
  <c r="C6" i="11"/>
  <c r="C5" i="11"/>
  <c r="C14" i="10"/>
  <c r="C13" i="10"/>
  <c r="C56" i="10"/>
  <c r="C25" i="10"/>
  <c r="C22" i="10"/>
  <c r="C18" i="10"/>
  <c r="C17" i="10"/>
  <c r="C12" i="10"/>
  <c r="C11" i="10"/>
  <c r="C10" i="10"/>
  <c r="C9" i="10"/>
  <c r="C8" i="10"/>
  <c r="C6" i="10"/>
  <c r="C5" i="10"/>
  <c r="C60" i="20" l="1"/>
  <c r="C95" i="20" s="1"/>
  <c r="C60" i="19"/>
  <c r="C59" i="18"/>
  <c r="C60" i="18" s="1"/>
  <c r="C73" i="18" s="1"/>
  <c r="C102" i="18"/>
  <c r="C128" i="18" s="1"/>
  <c r="C47" i="18"/>
  <c r="C79" i="18" s="1"/>
  <c r="C81" i="18"/>
  <c r="C33" i="10"/>
  <c r="C29" i="10"/>
  <c r="C35" i="10" s="1"/>
  <c r="C57" i="17"/>
  <c r="C55" i="17"/>
  <c r="C46" i="17"/>
  <c r="C41" i="17"/>
  <c r="C51" i="17"/>
  <c r="C52" i="17" s="1"/>
  <c r="C29" i="14"/>
  <c r="C35" i="14" s="1"/>
  <c r="C45" i="14"/>
  <c r="C29" i="13"/>
  <c r="C35" i="13" s="1"/>
  <c r="C33" i="13"/>
  <c r="C34" i="13" s="1"/>
  <c r="C39" i="11"/>
  <c r="C55" i="11" s="1"/>
  <c r="C44" i="13"/>
  <c r="C44" i="10"/>
  <c r="C45" i="11"/>
  <c r="C45" i="13"/>
  <c r="C45" i="12"/>
  <c r="C45" i="10"/>
  <c r="C39" i="12"/>
  <c r="C55" i="12" s="1"/>
  <c r="C44" i="14"/>
  <c r="C29" i="11"/>
  <c r="C35" i="11" s="1"/>
  <c r="C29" i="12"/>
  <c r="C35" i="12" s="1"/>
  <c r="C40" i="10"/>
  <c r="C58" i="10" s="1"/>
  <c r="C44" i="11"/>
  <c r="C40" i="14"/>
  <c r="C57" i="14" s="1"/>
  <c r="C40" i="13"/>
  <c r="C58" i="13" s="1"/>
  <c r="C30" i="12"/>
  <c r="C46" i="12" s="1"/>
  <c r="C44" i="12"/>
  <c r="C30" i="14"/>
  <c r="C39" i="14"/>
  <c r="C33" i="14"/>
  <c r="C34" i="14" s="1"/>
  <c r="C94" i="14"/>
  <c r="C30" i="13"/>
  <c r="C39" i="13"/>
  <c r="C94" i="13"/>
  <c r="C33" i="12"/>
  <c r="C34" i="12" s="1"/>
  <c r="C40" i="12"/>
  <c r="C30" i="11"/>
  <c r="C33" i="11"/>
  <c r="C34" i="11" s="1"/>
  <c r="C40" i="11"/>
  <c r="C34" i="10"/>
  <c r="C30" i="10"/>
  <c r="C39" i="10"/>
  <c r="C94" i="10"/>
  <c r="C10" i="8"/>
  <c r="C72" i="20" l="1"/>
  <c r="C73" i="20"/>
  <c r="C71" i="20"/>
  <c r="C69" i="20"/>
  <c r="C70" i="20"/>
  <c r="C61" i="20"/>
  <c r="C64" i="20" s="1"/>
  <c r="C95" i="19"/>
  <c r="C61" i="19"/>
  <c r="C70" i="19"/>
  <c r="C69" i="19"/>
  <c r="C72" i="19"/>
  <c r="C73" i="19"/>
  <c r="C71" i="19"/>
  <c r="C95" i="18"/>
  <c r="C61" i="18"/>
  <c r="C72" i="18"/>
  <c r="C69" i="18"/>
  <c r="C70" i="18"/>
  <c r="C71" i="18"/>
  <c r="C59" i="17"/>
  <c r="C102" i="17"/>
  <c r="C128" i="17" s="1"/>
  <c r="C47" i="17"/>
  <c r="C79" i="17" s="1"/>
  <c r="C42" i="17"/>
  <c r="C81" i="17"/>
  <c r="C57" i="10"/>
  <c r="C47" i="12"/>
  <c r="C79" i="12" s="1"/>
  <c r="C51" i="12"/>
  <c r="C52" i="12" s="1"/>
  <c r="C41" i="12"/>
  <c r="C42" i="12" s="1"/>
  <c r="C58" i="14"/>
  <c r="C57" i="13"/>
  <c r="C46" i="14"/>
  <c r="C41" i="14"/>
  <c r="C42" i="14" s="1"/>
  <c r="C51" i="14"/>
  <c r="C52" i="14" s="1"/>
  <c r="C55" i="14"/>
  <c r="C55" i="13"/>
  <c r="C46" i="13"/>
  <c r="C41" i="13"/>
  <c r="C51" i="13"/>
  <c r="C52" i="13" s="1"/>
  <c r="C58" i="12"/>
  <c r="C57" i="12"/>
  <c r="C58" i="11"/>
  <c r="C57" i="11"/>
  <c r="C51" i="11"/>
  <c r="C52" i="11" s="1"/>
  <c r="C41" i="11"/>
  <c r="C46" i="11"/>
  <c r="C55" i="10"/>
  <c r="C46" i="10"/>
  <c r="C41" i="10"/>
  <c r="C42" i="10" s="1"/>
  <c r="C51" i="10"/>
  <c r="C52" i="10" s="1"/>
  <c r="C21" i="8"/>
  <c r="C60" i="17" l="1"/>
  <c r="C61" i="17" s="1"/>
  <c r="C75" i="19"/>
  <c r="C75" i="20"/>
  <c r="C97" i="20" s="1"/>
  <c r="C63" i="20"/>
  <c r="C80" i="20"/>
  <c r="C64" i="19"/>
  <c r="C63" i="19"/>
  <c r="C80" i="19"/>
  <c r="C97" i="19"/>
  <c r="C64" i="18"/>
  <c r="C63" i="18"/>
  <c r="C75" i="18"/>
  <c r="C95" i="17"/>
  <c r="C72" i="17"/>
  <c r="C71" i="17"/>
  <c r="C69" i="17"/>
  <c r="C73" i="17"/>
  <c r="C81" i="12"/>
  <c r="C102" i="12"/>
  <c r="C128" i="12" s="1"/>
  <c r="C59" i="12"/>
  <c r="C60" i="12" s="1"/>
  <c r="C71" i="12" s="1"/>
  <c r="C59" i="14"/>
  <c r="C60" i="14" s="1"/>
  <c r="C102" i="14"/>
  <c r="C128" i="14" s="1"/>
  <c r="C47" i="14"/>
  <c r="C79" i="14" s="1"/>
  <c r="C81" i="14"/>
  <c r="C59" i="13"/>
  <c r="C102" i="13"/>
  <c r="C128" i="13" s="1"/>
  <c r="C47" i="13"/>
  <c r="C79" i="13" s="1"/>
  <c r="C42" i="13"/>
  <c r="C81" i="13"/>
  <c r="C59" i="11"/>
  <c r="C47" i="11"/>
  <c r="C79" i="11" s="1"/>
  <c r="C42" i="11"/>
  <c r="C81" i="11"/>
  <c r="C102" i="11"/>
  <c r="C128" i="11" s="1"/>
  <c r="C59" i="10"/>
  <c r="C60" i="10" s="1"/>
  <c r="C102" i="10"/>
  <c r="C128" i="10" s="1"/>
  <c r="C47" i="10"/>
  <c r="C79" i="10" s="1"/>
  <c r="C81" i="10"/>
  <c r="C56" i="7"/>
  <c r="C70" i="17" l="1"/>
  <c r="C75" i="17" s="1"/>
  <c r="C100" i="20"/>
  <c r="C105" i="20" s="1"/>
  <c r="C106" i="20" s="1"/>
  <c r="C126" i="20"/>
  <c r="C131" i="20" s="1"/>
  <c r="C132" i="20" s="1"/>
  <c r="C112" i="20"/>
  <c r="C138" i="20"/>
  <c r="C84" i="20"/>
  <c r="C85" i="20" s="1"/>
  <c r="C100" i="19"/>
  <c r="C105" i="19" s="1"/>
  <c r="C106" i="19" s="1"/>
  <c r="C126" i="19"/>
  <c r="C131" i="19" s="1"/>
  <c r="C132" i="19" s="1"/>
  <c r="C138" i="19"/>
  <c r="C112" i="19"/>
  <c r="C84" i="19"/>
  <c r="C85" i="19" s="1"/>
  <c r="C80" i="18"/>
  <c r="C97" i="18"/>
  <c r="C64" i="17"/>
  <c r="C63" i="17"/>
  <c r="C61" i="12"/>
  <c r="C63" i="12" s="1"/>
  <c r="C70" i="12"/>
  <c r="C60" i="13"/>
  <c r="C95" i="13" s="1"/>
  <c r="C72" i="12"/>
  <c r="C95" i="12"/>
  <c r="C60" i="11"/>
  <c r="C95" i="11" s="1"/>
  <c r="C69" i="12"/>
  <c r="C73" i="12"/>
  <c r="C95" i="14"/>
  <c r="C61" i="14"/>
  <c r="C72" i="14"/>
  <c r="C71" i="14"/>
  <c r="C70" i="14"/>
  <c r="C69" i="14"/>
  <c r="C73" i="14"/>
  <c r="C95" i="10"/>
  <c r="C61" i="10"/>
  <c r="C72" i="10"/>
  <c r="C71" i="10"/>
  <c r="C70" i="10"/>
  <c r="C69" i="10"/>
  <c r="C73" i="10"/>
  <c r="C14" i="7"/>
  <c r="C13" i="7"/>
  <c r="C71" i="11" l="1"/>
  <c r="C88" i="20"/>
  <c r="C89" i="20" s="1"/>
  <c r="C91" i="20" s="1"/>
  <c r="C71" i="13"/>
  <c r="C88" i="19"/>
  <c r="C89" i="19" s="1"/>
  <c r="C91" i="19" s="1"/>
  <c r="C100" i="18"/>
  <c r="C105" i="18" s="1"/>
  <c r="C106" i="18" s="1"/>
  <c r="C126" i="18"/>
  <c r="C131" i="18" s="1"/>
  <c r="C132" i="18" s="1"/>
  <c r="C112" i="18"/>
  <c r="C138" i="18"/>
  <c r="C84" i="18"/>
  <c r="C85" i="18" s="1"/>
  <c r="C64" i="12"/>
  <c r="C80" i="17"/>
  <c r="C97" i="17"/>
  <c r="C73" i="13"/>
  <c r="C72" i="13"/>
  <c r="C61" i="11"/>
  <c r="C64" i="11" s="1"/>
  <c r="C70" i="13"/>
  <c r="C61" i="13"/>
  <c r="C63" i="13" s="1"/>
  <c r="C69" i="13"/>
  <c r="C75" i="12"/>
  <c r="C80" i="12" s="1"/>
  <c r="C73" i="11"/>
  <c r="C70" i="11"/>
  <c r="C69" i="11"/>
  <c r="C72" i="11"/>
  <c r="C75" i="14"/>
  <c r="C64" i="14"/>
  <c r="C63" i="14"/>
  <c r="C64" i="10"/>
  <c r="C63" i="10"/>
  <c r="C75" i="10"/>
  <c r="C97" i="12" l="1"/>
  <c r="D138" i="20"/>
  <c r="B139" i="20" s="1"/>
  <c r="C139" i="20" s="1"/>
  <c r="D139" i="20" s="1"/>
  <c r="B140" i="20" s="1"/>
  <c r="C140" i="20" s="1"/>
  <c r="D140" i="20" s="1"/>
  <c r="B141" i="20" s="1"/>
  <c r="C141" i="20" s="1"/>
  <c r="D141" i="20" s="1"/>
  <c r="B142" i="20" s="1"/>
  <c r="C142" i="20" s="1"/>
  <c r="D142" i="20" s="1"/>
  <c r="B143" i="20" s="1"/>
  <c r="C143" i="20" s="1"/>
  <c r="D143" i="20" s="1"/>
  <c r="B144" i="20" s="1"/>
  <c r="C144" i="20" s="1"/>
  <c r="D144" i="20" s="1"/>
  <c r="B145" i="20" s="1"/>
  <c r="C145" i="20" s="1"/>
  <c r="D145" i="20" s="1"/>
  <c r="B146" i="20" s="1"/>
  <c r="C146" i="20" s="1"/>
  <c r="D146" i="20" s="1"/>
  <c r="B147" i="20" s="1"/>
  <c r="C147" i="20" s="1"/>
  <c r="D147" i="20" s="1"/>
  <c r="D149" i="20" s="1"/>
  <c r="D112" i="20"/>
  <c r="B113" i="20" s="1"/>
  <c r="C113" i="20" s="1"/>
  <c r="D113" i="20" s="1"/>
  <c r="B114" i="20" s="1"/>
  <c r="C114" i="20" s="1"/>
  <c r="D114" i="20" s="1"/>
  <c r="B115" i="20" s="1"/>
  <c r="C115" i="20" s="1"/>
  <c r="D115" i="20" s="1"/>
  <c r="B116" i="20" s="1"/>
  <c r="C116" i="20" s="1"/>
  <c r="D116" i="20" s="1"/>
  <c r="B117" i="20" s="1"/>
  <c r="C117" i="20" s="1"/>
  <c r="D117" i="20" s="1"/>
  <c r="B118" i="20" s="1"/>
  <c r="C118" i="20" s="1"/>
  <c r="D118" i="20" s="1"/>
  <c r="B119" i="20" s="1"/>
  <c r="C119" i="20" s="1"/>
  <c r="D119" i="20" s="1"/>
  <c r="B120" i="20" s="1"/>
  <c r="C120" i="20" s="1"/>
  <c r="D120" i="20" s="1"/>
  <c r="B121" i="20" s="1"/>
  <c r="C121" i="20" s="1"/>
  <c r="D121" i="20" s="1"/>
  <c r="D123" i="20" s="1"/>
  <c r="F123" i="20" s="1"/>
  <c r="D138" i="19"/>
  <c r="B139" i="19" s="1"/>
  <c r="C139" i="19" s="1"/>
  <c r="D139" i="19" s="1"/>
  <c r="B140" i="19" s="1"/>
  <c r="C140" i="19" s="1"/>
  <c r="D140" i="19" s="1"/>
  <c r="B141" i="19" s="1"/>
  <c r="C141" i="19" s="1"/>
  <c r="D141" i="19" s="1"/>
  <c r="B142" i="19" s="1"/>
  <c r="C142" i="19" s="1"/>
  <c r="D142" i="19" s="1"/>
  <c r="B143" i="19" s="1"/>
  <c r="C143" i="19" s="1"/>
  <c r="D143" i="19" s="1"/>
  <c r="B144" i="19" s="1"/>
  <c r="C144" i="19" s="1"/>
  <c r="D144" i="19" s="1"/>
  <c r="B145" i="19" s="1"/>
  <c r="C145" i="19" s="1"/>
  <c r="D145" i="19" s="1"/>
  <c r="B146" i="19" s="1"/>
  <c r="C146" i="19" s="1"/>
  <c r="D146" i="19" s="1"/>
  <c r="B147" i="19" s="1"/>
  <c r="C147" i="19" s="1"/>
  <c r="D147" i="19" s="1"/>
  <c r="D149" i="19" s="1"/>
  <c r="D112" i="19"/>
  <c r="B113" i="19" s="1"/>
  <c r="C113" i="19" s="1"/>
  <c r="D113" i="19" s="1"/>
  <c r="B114" i="19" s="1"/>
  <c r="C114" i="19" s="1"/>
  <c r="D114" i="19" s="1"/>
  <c r="B115" i="19" s="1"/>
  <c r="C115" i="19" s="1"/>
  <c r="D115" i="19" s="1"/>
  <c r="B116" i="19" s="1"/>
  <c r="C116" i="19" s="1"/>
  <c r="D116" i="19" s="1"/>
  <c r="B117" i="19" s="1"/>
  <c r="C117" i="19" s="1"/>
  <c r="D117" i="19" s="1"/>
  <c r="B118" i="19" s="1"/>
  <c r="C118" i="19" s="1"/>
  <c r="D118" i="19" s="1"/>
  <c r="B119" i="19" s="1"/>
  <c r="C119" i="19" s="1"/>
  <c r="D119" i="19" s="1"/>
  <c r="B120" i="19" s="1"/>
  <c r="C120" i="19" s="1"/>
  <c r="D120" i="19" s="1"/>
  <c r="B121" i="19" s="1"/>
  <c r="C121" i="19" s="1"/>
  <c r="D121" i="19" s="1"/>
  <c r="D123" i="19" s="1"/>
  <c r="F123" i="19" s="1"/>
  <c r="C88" i="18"/>
  <c r="C89" i="18" s="1"/>
  <c r="C91" i="18" s="1"/>
  <c r="C64" i="13"/>
  <c r="C100" i="17"/>
  <c r="C105" i="17" s="1"/>
  <c r="C106" i="17" s="1"/>
  <c r="C126" i="17"/>
  <c r="C131" i="17" s="1"/>
  <c r="C132" i="17" s="1"/>
  <c r="C112" i="17"/>
  <c r="C138" i="17"/>
  <c r="C84" i="17"/>
  <c r="C85" i="17" s="1"/>
  <c r="C75" i="11"/>
  <c r="C97" i="11" s="1"/>
  <c r="C75" i="13"/>
  <c r="C97" i="13" s="1"/>
  <c r="C63" i="11"/>
  <c r="C80" i="14"/>
  <c r="C97" i="14"/>
  <c r="C126" i="12"/>
  <c r="C131" i="12" s="1"/>
  <c r="C132" i="12" s="1"/>
  <c r="C100" i="12"/>
  <c r="C105" i="12" s="1"/>
  <c r="C106" i="12" s="1"/>
  <c r="C112" i="12"/>
  <c r="C138" i="12"/>
  <c r="C84" i="12"/>
  <c r="C85" i="12" s="1"/>
  <c r="C80" i="10"/>
  <c r="C97" i="10"/>
  <c r="C20" i="8"/>
  <c r="C17" i="8"/>
  <c r="C16" i="8"/>
  <c r="C13" i="8"/>
  <c r="C12" i="8"/>
  <c r="C11" i="8"/>
  <c r="C152" i="19" l="1"/>
  <c r="I15" i="9" s="1"/>
  <c r="C152" i="20"/>
  <c r="I16" i="9" s="1"/>
  <c r="B152" i="20"/>
  <c r="B152" i="19"/>
  <c r="D112" i="18"/>
  <c r="B113" i="18" s="1"/>
  <c r="C113" i="18" s="1"/>
  <c r="D113" i="18" s="1"/>
  <c r="B114" i="18" s="1"/>
  <c r="C114" i="18" s="1"/>
  <c r="D114" i="18" s="1"/>
  <c r="B115" i="18" s="1"/>
  <c r="C115" i="18" s="1"/>
  <c r="D115" i="18" s="1"/>
  <c r="B116" i="18" s="1"/>
  <c r="C116" i="18" s="1"/>
  <c r="D116" i="18" s="1"/>
  <c r="B117" i="18" s="1"/>
  <c r="C117" i="18" s="1"/>
  <c r="D117" i="18" s="1"/>
  <c r="B118" i="18" s="1"/>
  <c r="C118" i="18" s="1"/>
  <c r="D118" i="18" s="1"/>
  <c r="B119" i="18" s="1"/>
  <c r="C119" i="18" s="1"/>
  <c r="D119" i="18" s="1"/>
  <c r="B120" i="18" s="1"/>
  <c r="C120" i="18" s="1"/>
  <c r="D120" i="18" s="1"/>
  <c r="B121" i="18" s="1"/>
  <c r="C121" i="18" s="1"/>
  <c r="D121" i="18" s="1"/>
  <c r="D123" i="18" s="1"/>
  <c r="F123" i="18" s="1"/>
  <c r="D138" i="18"/>
  <c r="B139" i="18" s="1"/>
  <c r="C139" i="18" s="1"/>
  <c r="D139" i="18" s="1"/>
  <c r="B140" i="18" s="1"/>
  <c r="C140" i="18" s="1"/>
  <c r="D140" i="18" s="1"/>
  <c r="B141" i="18" s="1"/>
  <c r="C141" i="18" s="1"/>
  <c r="D141" i="18" s="1"/>
  <c r="B142" i="18" s="1"/>
  <c r="C142" i="18" s="1"/>
  <c r="D142" i="18" s="1"/>
  <c r="B143" i="18" s="1"/>
  <c r="C143" i="18" s="1"/>
  <c r="D143" i="18" s="1"/>
  <c r="B144" i="18" s="1"/>
  <c r="C144" i="18" s="1"/>
  <c r="D144" i="18" s="1"/>
  <c r="B145" i="18" s="1"/>
  <c r="C145" i="18" s="1"/>
  <c r="D145" i="18" s="1"/>
  <c r="B146" i="18" s="1"/>
  <c r="C146" i="18" s="1"/>
  <c r="D146" i="18" s="1"/>
  <c r="B147" i="18" s="1"/>
  <c r="C147" i="18" s="1"/>
  <c r="D147" i="18" s="1"/>
  <c r="D149" i="18" s="1"/>
  <c r="C80" i="11"/>
  <c r="C84" i="11" s="1"/>
  <c r="C85" i="11" s="1"/>
  <c r="C80" i="13"/>
  <c r="C112" i="13" s="1"/>
  <c r="C88" i="17"/>
  <c r="C89" i="17" s="1"/>
  <c r="C91" i="17" s="1"/>
  <c r="C41" i="8"/>
  <c r="C100" i="14"/>
  <c r="C105" i="14" s="1"/>
  <c r="C106" i="14" s="1"/>
  <c r="C126" i="14"/>
  <c r="C131" i="14" s="1"/>
  <c r="C132" i="14" s="1"/>
  <c r="C112" i="14"/>
  <c r="C138" i="14"/>
  <c r="C84" i="14"/>
  <c r="C85" i="14" s="1"/>
  <c r="C100" i="13"/>
  <c r="C105" i="13" s="1"/>
  <c r="C106" i="13" s="1"/>
  <c r="C126" i="13"/>
  <c r="C131" i="13" s="1"/>
  <c r="C132" i="13" s="1"/>
  <c r="C88" i="12"/>
  <c r="C89" i="12" s="1"/>
  <c r="C91" i="12" s="1"/>
  <c r="C100" i="11"/>
  <c r="C105" i="11" s="1"/>
  <c r="C106" i="11" s="1"/>
  <c r="C126" i="11"/>
  <c r="C131" i="11" s="1"/>
  <c r="C132" i="11" s="1"/>
  <c r="C100" i="10"/>
  <c r="C105" i="10" s="1"/>
  <c r="C106" i="10" s="1"/>
  <c r="C126" i="10"/>
  <c r="C131" i="10" s="1"/>
  <c r="C132" i="10" s="1"/>
  <c r="C112" i="10"/>
  <c r="C138" i="10"/>
  <c r="C84" i="10"/>
  <c r="C85" i="10" s="1"/>
  <c r="C35" i="8"/>
  <c r="F42" i="8" s="1"/>
  <c r="C138" i="11" l="1"/>
  <c r="B152" i="18"/>
  <c r="C152" i="18"/>
  <c r="I14" i="9" s="1"/>
  <c r="C84" i="13"/>
  <c r="C85" i="13" s="1"/>
  <c r="C88" i="13" s="1"/>
  <c r="C89" i="13" s="1"/>
  <c r="C91" i="13" s="1"/>
  <c r="C138" i="13"/>
  <c r="C112" i="11"/>
  <c r="D112" i="17"/>
  <c r="B113" i="17" s="1"/>
  <c r="C113" i="17" s="1"/>
  <c r="D113" i="17" s="1"/>
  <c r="B114" i="17" s="1"/>
  <c r="C114" i="17" s="1"/>
  <c r="D114" i="17" s="1"/>
  <c r="B115" i="17" s="1"/>
  <c r="C115" i="17" s="1"/>
  <c r="D115" i="17" s="1"/>
  <c r="B116" i="17" s="1"/>
  <c r="C116" i="17" s="1"/>
  <c r="D116" i="17" s="1"/>
  <c r="B117" i="17" s="1"/>
  <c r="C117" i="17" s="1"/>
  <c r="D117" i="17" s="1"/>
  <c r="B118" i="17" s="1"/>
  <c r="C118" i="17" s="1"/>
  <c r="D118" i="17" s="1"/>
  <c r="B119" i="17" s="1"/>
  <c r="C119" i="17" s="1"/>
  <c r="D119" i="17" s="1"/>
  <c r="B120" i="17" s="1"/>
  <c r="C120" i="17" s="1"/>
  <c r="D120" i="17" s="1"/>
  <c r="B121" i="17" s="1"/>
  <c r="C121" i="17" s="1"/>
  <c r="D121" i="17" s="1"/>
  <c r="D123" i="17" s="1"/>
  <c r="F123" i="17" s="1"/>
  <c r="D138" i="17"/>
  <c r="B139" i="17" s="1"/>
  <c r="C139" i="17" s="1"/>
  <c r="D139" i="17" s="1"/>
  <c r="B140" i="17" s="1"/>
  <c r="C140" i="17" s="1"/>
  <c r="D140" i="17" s="1"/>
  <c r="B141" i="17" s="1"/>
  <c r="C141" i="17" s="1"/>
  <c r="D141" i="17" s="1"/>
  <c r="B142" i="17" s="1"/>
  <c r="C142" i="17" s="1"/>
  <c r="D142" i="17" s="1"/>
  <c r="B143" i="17" s="1"/>
  <c r="C143" i="17" s="1"/>
  <c r="D143" i="17" s="1"/>
  <c r="B144" i="17" s="1"/>
  <c r="C144" i="17" s="1"/>
  <c r="D144" i="17" s="1"/>
  <c r="B145" i="17" s="1"/>
  <c r="C145" i="17" s="1"/>
  <c r="D145" i="17" s="1"/>
  <c r="B146" i="17" s="1"/>
  <c r="C146" i="17" s="1"/>
  <c r="D146" i="17" s="1"/>
  <c r="B147" i="17" s="1"/>
  <c r="C147" i="17" s="1"/>
  <c r="D147" i="17" s="1"/>
  <c r="D149" i="17" s="1"/>
  <c r="C88" i="14"/>
  <c r="C89" i="14" s="1"/>
  <c r="C91" i="14" s="1"/>
  <c r="D112" i="12"/>
  <c r="B113" i="12" s="1"/>
  <c r="C113" i="12" s="1"/>
  <c r="D113" i="12" s="1"/>
  <c r="B114" i="12" s="1"/>
  <c r="C114" i="12" s="1"/>
  <c r="D114" i="12" s="1"/>
  <c r="B115" i="12" s="1"/>
  <c r="C115" i="12" s="1"/>
  <c r="D115" i="12" s="1"/>
  <c r="B116" i="12" s="1"/>
  <c r="C116" i="12" s="1"/>
  <c r="D116" i="12" s="1"/>
  <c r="B117" i="12" s="1"/>
  <c r="C117" i="12" s="1"/>
  <c r="D117" i="12" s="1"/>
  <c r="B118" i="12" s="1"/>
  <c r="C118" i="12" s="1"/>
  <c r="D118" i="12" s="1"/>
  <c r="B119" i="12" s="1"/>
  <c r="C119" i="12" s="1"/>
  <c r="D119" i="12" s="1"/>
  <c r="B120" i="12" s="1"/>
  <c r="C120" i="12" s="1"/>
  <c r="D120" i="12" s="1"/>
  <c r="B121" i="12" s="1"/>
  <c r="C121" i="12" s="1"/>
  <c r="D121" i="12" s="1"/>
  <c r="D123" i="12" s="1"/>
  <c r="F123" i="12" s="1"/>
  <c r="D138" i="12"/>
  <c r="B139" i="12" s="1"/>
  <c r="C139" i="12" s="1"/>
  <c r="D139" i="12" s="1"/>
  <c r="B140" i="12" s="1"/>
  <c r="C140" i="12" s="1"/>
  <c r="D140" i="12" s="1"/>
  <c r="B141" i="12" s="1"/>
  <c r="C141" i="12" s="1"/>
  <c r="D141" i="12" s="1"/>
  <c r="B142" i="12" s="1"/>
  <c r="C142" i="12" s="1"/>
  <c r="D142" i="12" s="1"/>
  <c r="B143" i="12" s="1"/>
  <c r="C143" i="12" s="1"/>
  <c r="D143" i="12" s="1"/>
  <c r="B144" i="12" s="1"/>
  <c r="C144" i="12" s="1"/>
  <c r="D144" i="12" s="1"/>
  <c r="B145" i="12" s="1"/>
  <c r="C145" i="12" s="1"/>
  <c r="D145" i="12" s="1"/>
  <c r="B146" i="12" s="1"/>
  <c r="C146" i="12" s="1"/>
  <c r="D146" i="12" s="1"/>
  <c r="B147" i="12" s="1"/>
  <c r="C147" i="12" s="1"/>
  <c r="D147" i="12" s="1"/>
  <c r="D149" i="12" s="1"/>
  <c r="C88" i="11"/>
  <c r="C89" i="11" s="1"/>
  <c r="C91" i="11" s="1"/>
  <c r="C88" i="10"/>
  <c r="C89" i="10" s="1"/>
  <c r="C91" i="10" s="1"/>
  <c r="C2" i="7"/>
  <c r="C25" i="7"/>
  <c r="C22" i="7"/>
  <c r="C18" i="7"/>
  <c r="C17" i="7"/>
  <c r="C12" i="7"/>
  <c r="C11" i="7"/>
  <c r="C10" i="7"/>
  <c r="C9" i="7"/>
  <c r="C8" i="7"/>
  <c r="C6" i="7"/>
  <c r="C5" i="7"/>
  <c r="C152" i="17" l="1"/>
  <c r="I13" i="9" s="1"/>
  <c r="B152" i="17"/>
  <c r="C152" i="12"/>
  <c r="I10" i="9" s="1"/>
  <c r="B152" i="12"/>
  <c r="D112" i="14"/>
  <c r="B113" i="14" s="1"/>
  <c r="C113" i="14" s="1"/>
  <c r="D113" i="14" s="1"/>
  <c r="B114" i="14" s="1"/>
  <c r="C114" i="14" s="1"/>
  <c r="D114" i="14" s="1"/>
  <c r="B115" i="14" s="1"/>
  <c r="C115" i="14" s="1"/>
  <c r="D115" i="14" s="1"/>
  <c r="B116" i="14" s="1"/>
  <c r="C116" i="14" s="1"/>
  <c r="D116" i="14" s="1"/>
  <c r="B117" i="14" s="1"/>
  <c r="C117" i="14" s="1"/>
  <c r="D117" i="14" s="1"/>
  <c r="B118" i="14" s="1"/>
  <c r="C118" i="14" s="1"/>
  <c r="D118" i="14" s="1"/>
  <c r="B119" i="14" s="1"/>
  <c r="C119" i="14" s="1"/>
  <c r="D119" i="14" s="1"/>
  <c r="B120" i="14" s="1"/>
  <c r="C120" i="14" s="1"/>
  <c r="D120" i="14" s="1"/>
  <c r="B121" i="14" s="1"/>
  <c r="C121" i="14" s="1"/>
  <c r="D121" i="14" s="1"/>
  <c r="D123" i="14" s="1"/>
  <c r="F123" i="14" s="1"/>
  <c r="D138" i="14"/>
  <c r="B139" i="14" s="1"/>
  <c r="C139" i="14" s="1"/>
  <c r="D139" i="14" s="1"/>
  <c r="B140" i="14" s="1"/>
  <c r="C140" i="14" s="1"/>
  <c r="D140" i="14" s="1"/>
  <c r="B141" i="14" s="1"/>
  <c r="C141" i="14" s="1"/>
  <c r="D141" i="14" s="1"/>
  <c r="B142" i="14" s="1"/>
  <c r="C142" i="14" s="1"/>
  <c r="D142" i="14" s="1"/>
  <c r="B143" i="14" s="1"/>
  <c r="C143" i="14" s="1"/>
  <c r="D143" i="14" s="1"/>
  <c r="B144" i="14" s="1"/>
  <c r="C144" i="14" s="1"/>
  <c r="D144" i="14" s="1"/>
  <c r="B145" i="14" s="1"/>
  <c r="C145" i="14" s="1"/>
  <c r="D145" i="14" s="1"/>
  <c r="B146" i="14" s="1"/>
  <c r="C146" i="14" s="1"/>
  <c r="D146" i="14" s="1"/>
  <c r="B147" i="14" s="1"/>
  <c r="C147" i="14" s="1"/>
  <c r="D147" i="14" s="1"/>
  <c r="D149" i="14" s="1"/>
  <c r="D112" i="13"/>
  <c r="B113" i="13" s="1"/>
  <c r="C113" i="13" s="1"/>
  <c r="D113" i="13" s="1"/>
  <c r="B114" i="13" s="1"/>
  <c r="C114" i="13" s="1"/>
  <c r="D114" i="13" s="1"/>
  <c r="B115" i="13" s="1"/>
  <c r="C115" i="13" s="1"/>
  <c r="D115" i="13" s="1"/>
  <c r="B116" i="13" s="1"/>
  <c r="C116" i="13" s="1"/>
  <c r="D116" i="13" s="1"/>
  <c r="B117" i="13" s="1"/>
  <c r="C117" i="13" s="1"/>
  <c r="D117" i="13" s="1"/>
  <c r="B118" i="13" s="1"/>
  <c r="C118" i="13" s="1"/>
  <c r="D118" i="13" s="1"/>
  <c r="B119" i="13" s="1"/>
  <c r="C119" i="13" s="1"/>
  <c r="D119" i="13" s="1"/>
  <c r="B120" i="13" s="1"/>
  <c r="C120" i="13" s="1"/>
  <c r="D120" i="13" s="1"/>
  <c r="B121" i="13" s="1"/>
  <c r="C121" i="13" s="1"/>
  <c r="D121" i="13" s="1"/>
  <c r="D123" i="13" s="1"/>
  <c r="F123" i="13" s="1"/>
  <c r="D138" i="13"/>
  <c r="B139" i="13" s="1"/>
  <c r="C139" i="13" s="1"/>
  <c r="D139" i="13" s="1"/>
  <c r="B140" i="13" s="1"/>
  <c r="C140" i="13" s="1"/>
  <c r="D140" i="13" s="1"/>
  <c r="B141" i="13" s="1"/>
  <c r="C141" i="13" s="1"/>
  <c r="D141" i="13" s="1"/>
  <c r="B142" i="13" s="1"/>
  <c r="C142" i="13" s="1"/>
  <c r="D142" i="13" s="1"/>
  <c r="B143" i="13" s="1"/>
  <c r="C143" i="13" s="1"/>
  <c r="D143" i="13" s="1"/>
  <c r="B144" i="13" s="1"/>
  <c r="C144" i="13" s="1"/>
  <c r="D144" i="13" s="1"/>
  <c r="B145" i="13" s="1"/>
  <c r="C145" i="13" s="1"/>
  <c r="D145" i="13" s="1"/>
  <c r="B146" i="13" s="1"/>
  <c r="C146" i="13" s="1"/>
  <c r="D146" i="13" s="1"/>
  <c r="B147" i="13" s="1"/>
  <c r="C147" i="13" s="1"/>
  <c r="D147" i="13" s="1"/>
  <c r="D149" i="13" s="1"/>
  <c r="D112" i="11"/>
  <c r="B113" i="11" s="1"/>
  <c r="C113" i="11" s="1"/>
  <c r="D113" i="11" s="1"/>
  <c r="B114" i="11" s="1"/>
  <c r="C114" i="11" s="1"/>
  <c r="D114" i="11" s="1"/>
  <c r="B115" i="11" s="1"/>
  <c r="C115" i="11" s="1"/>
  <c r="D115" i="11" s="1"/>
  <c r="B116" i="11" s="1"/>
  <c r="C116" i="11" s="1"/>
  <c r="D116" i="11" s="1"/>
  <c r="B117" i="11" s="1"/>
  <c r="C117" i="11" s="1"/>
  <c r="D117" i="11" s="1"/>
  <c r="B118" i="11" s="1"/>
  <c r="C118" i="11" s="1"/>
  <c r="D118" i="11" s="1"/>
  <c r="B119" i="11" s="1"/>
  <c r="C119" i="11" s="1"/>
  <c r="D119" i="11" s="1"/>
  <c r="B120" i="11" s="1"/>
  <c r="C120" i="11" s="1"/>
  <c r="D120" i="11" s="1"/>
  <c r="B121" i="11" s="1"/>
  <c r="C121" i="11" s="1"/>
  <c r="D121" i="11" s="1"/>
  <c r="D123" i="11" s="1"/>
  <c r="F123" i="11" s="1"/>
  <c r="D138" i="11"/>
  <c r="B139" i="11" s="1"/>
  <c r="C139" i="11" s="1"/>
  <c r="D139" i="11" s="1"/>
  <c r="B140" i="11" s="1"/>
  <c r="C140" i="11" s="1"/>
  <c r="D140" i="11" s="1"/>
  <c r="B141" i="11" s="1"/>
  <c r="C141" i="11" s="1"/>
  <c r="D141" i="11" s="1"/>
  <c r="B142" i="11" s="1"/>
  <c r="C142" i="11" s="1"/>
  <c r="D142" i="11" s="1"/>
  <c r="B143" i="11" s="1"/>
  <c r="C143" i="11" s="1"/>
  <c r="D143" i="11" s="1"/>
  <c r="B144" i="11" s="1"/>
  <c r="C144" i="11" s="1"/>
  <c r="D144" i="11" s="1"/>
  <c r="B145" i="11" s="1"/>
  <c r="C145" i="11" s="1"/>
  <c r="D145" i="11" s="1"/>
  <c r="B146" i="11" s="1"/>
  <c r="C146" i="11" s="1"/>
  <c r="D146" i="11" s="1"/>
  <c r="B147" i="11" s="1"/>
  <c r="C147" i="11" s="1"/>
  <c r="D147" i="11" s="1"/>
  <c r="D149" i="11" s="1"/>
  <c r="D112" i="10"/>
  <c r="B113" i="10" s="1"/>
  <c r="C113" i="10" s="1"/>
  <c r="D113" i="10" s="1"/>
  <c r="B114" i="10" s="1"/>
  <c r="C114" i="10" s="1"/>
  <c r="D114" i="10" s="1"/>
  <c r="B115" i="10" s="1"/>
  <c r="C115" i="10" s="1"/>
  <c r="D115" i="10" s="1"/>
  <c r="B116" i="10" s="1"/>
  <c r="C116" i="10" s="1"/>
  <c r="D116" i="10" s="1"/>
  <c r="B117" i="10" s="1"/>
  <c r="C117" i="10" s="1"/>
  <c r="D117" i="10" s="1"/>
  <c r="B118" i="10" s="1"/>
  <c r="C118" i="10" s="1"/>
  <c r="D118" i="10" s="1"/>
  <c r="B119" i="10" s="1"/>
  <c r="C119" i="10" s="1"/>
  <c r="D119" i="10" s="1"/>
  <c r="B120" i="10" s="1"/>
  <c r="C120" i="10" s="1"/>
  <c r="D120" i="10" s="1"/>
  <c r="B121" i="10" s="1"/>
  <c r="C121" i="10" s="1"/>
  <c r="D121" i="10" s="1"/>
  <c r="D123" i="10" s="1"/>
  <c r="F123" i="10" s="1"/>
  <c r="D138" i="10"/>
  <c r="B139" i="10" s="1"/>
  <c r="C139" i="10" s="1"/>
  <c r="D139" i="10" s="1"/>
  <c r="B140" i="10" s="1"/>
  <c r="C140" i="10" s="1"/>
  <c r="D140" i="10" s="1"/>
  <c r="B141" i="10" s="1"/>
  <c r="C141" i="10" s="1"/>
  <c r="D141" i="10" s="1"/>
  <c r="B142" i="10" s="1"/>
  <c r="C142" i="10" s="1"/>
  <c r="D142" i="10" s="1"/>
  <c r="B143" i="10" s="1"/>
  <c r="C143" i="10" s="1"/>
  <c r="D143" i="10" s="1"/>
  <c r="B144" i="10" s="1"/>
  <c r="C144" i="10" s="1"/>
  <c r="D144" i="10" s="1"/>
  <c r="B145" i="10" s="1"/>
  <c r="C145" i="10" s="1"/>
  <c r="D145" i="10" s="1"/>
  <c r="B146" i="10" s="1"/>
  <c r="C146" i="10" s="1"/>
  <c r="D146" i="10" s="1"/>
  <c r="B147" i="10" s="1"/>
  <c r="C147" i="10" s="1"/>
  <c r="D147" i="10" s="1"/>
  <c r="D149" i="10" s="1"/>
  <c r="C29" i="7"/>
  <c r="C94" i="7"/>
  <c r="C33" i="7"/>
  <c r="C34" i="7" s="1"/>
  <c r="C45" i="7"/>
  <c r="C44" i="7"/>
  <c r="C40" i="7"/>
  <c r="C39" i="7"/>
  <c r="C46" i="8"/>
  <c r="C26" i="8"/>
  <c r="C31" i="8" s="1"/>
  <c r="C25" i="8"/>
  <c r="C30" i="8" s="1"/>
  <c r="C152" i="14" l="1"/>
  <c r="I12" i="9" s="1"/>
  <c r="C152" i="13"/>
  <c r="I11" i="9" s="1"/>
  <c r="C152" i="10"/>
  <c r="I8" i="9" s="1"/>
  <c r="B152" i="13"/>
  <c r="B152" i="10"/>
  <c r="C152" i="11"/>
  <c r="I9" i="9" s="1"/>
  <c r="B152" i="14"/>
  <c r="B152" i="11"/>
  <c r="C55" i="7"/>
  <c r="C58" i="7"/>
  <c r="C57" i="7"/>
  <c r="C47" i="8"/>
  <c r="C48" i="8" s="1"/>
  <c r="C32" i="8"/>
  <c r="C34" i="8" s="1"/>
  <c r="C37" i="8" l="1"/>
  <c r="C38" i="8" s="1"/>
  <c r="C35" i="7"/>
  <c r="C42" i="8" l="1"/>
  <c r="C30" i="7"/>
  <c r="C43" i="8" l="1"/>
  <c r="F8" i="8" s="1"/>
  <c r="F43" i="8"/>
  <c r="C46" i="7"/>
  <c r="C41" i="7"/>
  <c r="C51" i="7"/>
  <c r="C50" i="8" l="1"/>
  <c r="I6" i="9" s="1"/>
  <c r="J10" i="9" s="1"/>
  <c r="C53" i="8"/>
  <c r="C102" i="7"/>
  <c r="C59" i="7"/>
  <c r="C47" i="7"/>
  <c r="C79" i="7" s="1"/>
  <c r="C42" i="7"/>
  <c r="C81" i="7"/>
  <c r="C52" i="7"/>
  <c r="J8" i="9" l="1"/>
  <c r="J6" i="9"/>
  <c r="J12" i="9"/>
  <c r="J15" i="9"/>
  <c r="J16" i="9"/>
  <c r="J14" i="9"/>
  <c r="J11" i="9"/>
  <c r="J9" i="9"/>
  <c r="J13" i="9"/>
  <c r="C60" i="7"/>
  <c r="C128" i="7"/>
  <c r="C95" i="7" l="1"/>
  <c r="C73" i="7"/>
  <c r="C72" i="7"/>
  <c r="C71" i="7"/>
  <c r="C70" i="7"/>
  <c r="C69" i="7"/>
  <c r="C61" i="7"/>
  <c r="C75" i="7" l="1"/>
  <c r="C97" i="7" s="1"/>
  <c r="C126" i="7" s="1"/>
  <c r="C63" i="7"/>
  <c r="C80" i="7" l="1"/>
  <c r="C84" i="7" s="1"/>
  <c r="C85" i="7" s="1"/>
  <c r="C88" i="7" s="1"/>
  <c r="C64" i="7"/>
  <c r="C138" i="7" l="1"/>
  <c r="C112" i="7"/>
  <c r="C100" i="7"/>
  <c r="C105" i="7" s="1"/>
  <c r="C106" i="7" s="1"/>
  <c r="C131" i="7"/>
  <c r="C132" i="7" s="1"/>
  <c r="C89" i="7"/>
  <c r="C91" i="7" s="1"/>
  <c r="D138" i="7" l="1"/>
  <c r="B139" i="7" s="1"/>
  <c r="C139" i="7" s="1"/>
  <c r="D112" i="7"/>
  <c r="B113" i="7" s="1"/>
  <c r="C113" i="7" l="1"/>
  <c r="D113" i="7" s="1"/>
  <c r="B114" i="7" s="1"/>
  <c r="C114" i="7" s="1"/>
  <c r="D114" i="7" s="1"/>
  <c r="B115" i="7" s="1"/>
  <c r="D139" i="7"/>
  <c r="B140" i="7" l="1"/>
  <c r="C140" i="7" s="1"/>
  <c r="D140" i="7" s="1"/>
  <c r="C115" i="7"/>
  <c r="D115" i="7" s="1"/>
  <c r="B141" i="7" l="1"/>
  <c r="C141" i="7" s="1"/>
  <c r="D141" i="7" s="1"/>
  <c r="B142" i="7" l="1"/>
  <c r="C142" i="7" s="1"/>
  <c r="D142" i="7" s="1"/>
  <c r="B116" i="7"/>
  <c r="C116" i="7" s="1"/>
  <c r="D116" i="7" s="1"/>
  <c r="B143" i="7" l="1"/>
  <c r="C143" i="7" s="1"/>
  <c r="D143" i="7" s="1"/>
  <c r="B117" i="7"/>
  <c r="C117" i="7" s="1"/>
  <c r="B144" i="7" l="1"/>
  <c r="C144" i="7" s="1"/>
  <c r="D144" i="7" s="1"/>
  <c r="B145" i="7" s="1"/>
  <c r="C145" i="7" s="1"/>
  <c r="D145" i="7" s="1"/>
  <c r="D117" i="7"/>
  <c r="B118" i="7" s="1"/>
  <c r="C118" i="7" s="1"/>
  <c r="D118" i="7" l="1"/>
  <c r="B119" i="7" s="1"/>
  <c r="C119" i="7" s="1"/>
  <c r="B146" i="7"/>
  <c r="C146" i="7" s="1"/>
  <c r="D146" i="7" s="1"/>
  <c r="D119" i="7" l="1"/>
  <c r="B120" i="7" s="1"/>
  <c r="C120" i="7" s="1"/>
  <c r="B147" i="7"/>
  <c r="C147" i="7" s="1"/>
  <c r="D147" i="7" s="1"/>
  <c r="D149" i="7" s="1"/>
  <c r="D120" i="7" l="1"/>
  <c r="B121" i="7" s="1"/>
  <c r="C121" i="7" s="1"/>
  <c r="D121" i="7" l="1"/>
  <c r="D123" i="7" s="1"/>
  <c r="F123" i="7" s="1"/>
  <c r="C152" i="7" l="1"/>
  <c r="I7" i="9" s="1"/>
  <c r="J7" i="9" s="1"/>
  <c r="B152" i="7"/>
</calcChain>
</file>

<file path=xl/sharedStrings.xml><?xml version="1.0" encoding="utf-8"?>
<sst xmlns="http://schemas.openxmlformats.org/spreadsheetml/2006/main" count="2220" uniqueCount="198">
  <si>
    <t>Lipped Channel Section</t>
  </si>
  <si>
    <t>d</t>
  </si>
  <si>
    <t>mm</t>
  </si>
  <si>
    <t>b</t>
  </si>
  <si>
    <t>c</t>
  </si>
  <si>
    <t>t</t>
  </si>
  <si>
    <t>MPa</t>
  </si>
  <si>
    <t>Squash load</t>
  </si>
  <si>
    <t>kN</t>
  </si>
  <si>
    <t>Local buckling load</t>
  </si>
  <si>
    <t>Slenderness</t>
  </si>
  <si>
    <t>Local buckling capacity</t>
  </si>
  <si>
    <t>HF</t>
  </si>
  <si>
    <t>HF Lip</t>
  </si>
  <si>
    <t>CF Lip</t>
  </si>
  <si>
    <t>CF</t>
  </si>
  <si>
    <t>Web</t>
  </si>
  <si>
    <t>kNm</t>
  </si>
  <si>
    <t>α</t>
  </si>
  <si>
    <t>Interaction equation at mid-height</t>
  </si>
  <si>
    <t>Buckling Capacity</t>
  </si>
  <si>
    <t>Flexural buckling capacity</t>
  </si>
  <si>
    <t xml:space="preserve">Squash load </t>
  </si>
  <si>
    <t>Local buckling moment</t>
  </si>
  <si>
    <t>1. Stud Section Dimensions and Properties</t>
  </si>
  <si>
    <t xml:space="preserve">3.1. Compression Member </t>
  </si>
  <si>
    <t>Local buckling load factor at ambient temperature</t>
  </si>
  <si>
    <t>Thickness of the Stud (BMT)</t>
  </si>
  <si>
    <t>Length of the Stud</t>
  </si>
  <si>
    <t>Gross Area of the Stud Section</t>
  </si>
  <si>
    <t>Second Moment of Area about Major Axis (x-axis)</t>
  </si>
  <si>
    <t>Stud Hot Flange Temperature (HF)</t>
  </si>
  <si>
    <t>Stud Cold Flange Temperature (CF)</t>
  </si>
  <si>
    <t>Elastic Modulus</t>
  </si>
  <si>
    <t xml:space="preserve">Yield Strength </t>
  </si>
  <si>
    <t>3.2. Flexural Bember</t>
  </si>
  <si>
    <t>Mean thermal expansion coefficient</t>
  </si>
  <si>
    <t>Thermal bowing deflection</t>
  </si>
  <si>
    <t>Nmm</t>
  </si>
  <si>
    <t>Neutral axis shift about the major axis</t>
  </si>
  <si>
    <t>Eccentricity at mid-height</t>
  </si>
  <si>
    <t>Eccentricity at support</t>
  </si>
  <si>
    <t>Section moment capacity with Buckling</t>
  </si>
  <si>
    <t>Critical local buckling moment</t>
  </si>
  <si>
    <t>Section moment Capacity at mid-height</t>
  </si>
  <si>
    <t>N*</t>
  </si>
  <si>
    <t>Ultimate Capacity of the stud at elevated temperature</t>
  </si>
  <si>
    <r>
      <t xml:space="preserve">DIRECT STRENGTH METHOD (DSM) </t>
    </r>
    <r>
      <rPr>
        <b/>
        <sz val="12"/>
        <color theme="1"/>
        <rFont val="Times New Roman"/>
        <family val="1"/>
      </rPr>
      <t>- Draft AS4600 (SA, 2017)</t>
    </r>
  </si>
  <si>
    <r>
      <t>A</t>
    </r>
    <r>
      <rPr>
        <b/>
        <vertAlign val="subscript"/>
        <sz val="12"/>
        <color theme="1"/>
        <rFont val="Times New Roman"/>
        <family val="1"/>
      </rPr>
      <t>g</t>
    </r>
  </si>
  <si>
    <r>
      <t>mm</t>
    </r>
    <r>
      <rPr>
        <vertAlign val="superscript"/>
        <sz val="12"/>
        <color theme="1"/>
        <rFont val="Times New Roman"/>
        <family val="1"/>
      </rPr>
      <t>2</t>
    </r>
  </si>
  <si>
    <r>
      <t>I</t>
    </r>
    <r>
      <rPr>
        <b/>
        <vertAlign val="subscript"/>
        <sz val="12"/>
        <color theme="1"/>
        <rFont val="Times New Roman"/>
        <family val="1"/>
      </rPr>
      <t>xx</t>
    </r>
  </si>
  <si>
    <r>
      <t>mm</t>
    </r>
    <r>
      <rPr>
        <vertAlign val="superscript"/>
        <sz val="12"/>
        <color theme="1"/>
        <rFont val="Times New Roman"/>
        <family val="1"/>
      </rPr>
      <t>4</t>
    </r>
  </si>
  <si>
    <r>
      <t>Z</t>
    </r>
    <r>
      <rPr>
        <b/>
        <vertAlign val="subscript"/>
        <sz val="12"/>
        <color theme="1"/>
        <rFont val="Times New Roman"/>
        <family val="1"/>
      </rPr>
      <t>x</t>
    </r>
  </si>
  <si>
    <r>
      <t>mm</t>
    </r>
    <r>
      <rPr>
        <vertAlign val="superscript"/>
        <sz val="12"/>
        <color theme="1"/>
        <rFont val="Times New Roman"/>
        <family val="1"/>
      </rPr>
      <t>3</t>
    </r>
  </si>
  <si>
    <r>
      <t>T</t>
    </r>
    <r>
      <rPr>
        <b/>
        <vertAlign val="subscript"/>
        <sz val="12"/>
        <color theme="1"/>
        <rFont val="Times New Roman"/>
        <family val="1"/>
      </rPr>
      <t>HF</t>
    </r>
  </si>
  <si>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</t>
    </r>
  </si>
  <si>
    <r>
      <t>T</t>
    </r>
    <r>
      <rPr>
        <b/>
        <vertAlign val="subscript"/>
        <sz val="12"/>
        <color theme="1"/>
        <rFont val="Times New Roman"/>
        <family val="1"/>
      </rPr>
      <t>CF</t>
    </r>
  </si>
  <si>
    <r>
      <t>T</t>
    </r>
    <r>
      <rPr>
        <b/>
        <vertAlign val="subscript"/>
        <sz val="12"/>
        <color theme="1"/>
        <rFont val="Times New Roman"/>
        <family val="1"/>
      </rPr>
      <t>web</t>
    </r>
  </si>
  <si>
    <r>
      <t>E</t>
    </r>
    <r>
      <rPr>
        <b/>
        <vertAlign val="subscript"/>
        <sz val="12"/>
        <color theme="1"/>
        <rFont val="Times New Roman"/>
        <family val="1"/>
      </rPr>
      <t>20</t>
    </r>
  </si>
  <si>
    <r>
      <t>f</t>
    </r>
    <r>
      <rPr>
        <b/>
        <vertAlign val="subscript"/>
        <sz val="12"/>
        <color theme="1"/>
        <rFont val="Times New Roman"/>
        <family val="1"/>
      </rPr>
      <t>y,20</t>
    </r>
  </si>
  <si>
    <r>
      <t>N</t>
    </r>
    <r>
      <rPr>
        <b/>
        <vertAlign val="subscript"/>
        <sz val="12"/>
        <color theme="1"/>
        <rFont val="Times New Roman"/>
        <family val="1"/>
      </rPr>
      <t>se,20</t>
    </r>
  </si>
  <si>
    <r>
      <t>N</t>
    </r>
    <r>
      <rPr>
        <b/>
        <vertAlign val="subscript"/>
        <sz val="12"/>
        <color theme="1"/>
        <rFont val="Times New Roman"/>
        <family val="1"/>
      </rPr>
      <t>ol,20</t>
    </r>
  </si>
  <si>
    <r>
      <t>M</t>
    </r>
    <r>
      <rPr>
        <b/>
        <vertAlign val="subscript"/>
        <sz val="12"/>
        <color theme="1"/>
        <rFont val="Times New Roman"/>
        <family val="1"/>
      </rPr>
      <t>ol,20</t>
    </r>
  </si>
  <si>
    <r>
      <t>E</t>
    </r>
    <r>
      <rPr>
        <b/>
        <vertAlign val="subscript"/>
        <sz val="12"/>
        <color theme="1"/>
        <rFont val="Times New Roman"/>
        <family val="1"/>
      </rPr>
      <t>HF</t>
    </r>
  </si>
  <si>
    <r>
      <t>E</t>
    </r>
    <r>
      <rPr>
        <b/>
        <vertAlign val="subscript"/>
        <sz val="12"/>
        <color theme="1"/>
        <rFont val="Times New Roman"/>
        <family val="1"/>
      </rPr>
      <t>CF</t>
    </r>
  </si>
  <si>
    <r>
      <t>E</t>
    </r>
    <r>
      <rPr>
        <b/>
        <vertAlign val="subscript"/>
        <sz val="12"/>
        <color theme="1"/>
        <rFont val="Times New Roman"/>
        <family val="1"/>
      </rPr>
      <t>web</t>
    </r>
  </si>
  <si>
    <r>
      <t>E</t>
    </r>
    <r>
      <rPr>
        <b/>
        <vertAlign val="subscript"/>
        <sz val="12"/>
        <color theme="1"/>
        <rFont val="Times New Roman"/>
        <family val="1"/>
      </rPr>
      <t>avg</t>
    </r>
  </si>
  <si>
    <r>
      <t>f</t>
    </r>
    <r>
      <rPr>
        <b/>
        <vertAlign val="subscript"/>
        <sz val="12"/>
        <color theme="1"/>
        <rFont val="Times New Roman"/>
        <family val="1"/>
      </rPr>
      <t>y,HF</t>
    </r>
  </si>
  <si>
    <r>
      <t>f</t>
    </r>
    <r>
      <rPr>
        <b/>
        <vertAlign val="subscript"/>
        <sz val="12"/>
        <color theme="1"/>
        <rFont val="Times New Roman"/>
        <family val="1"/>
      </rPr>
      <t>y,CF</t>
    </r>
  </si>
  <si>
    <r>
      <t>f</t>
    </r>
    <r>
      <rPr>
        <b/>
        <vertAlign val="subscript"/>
        <sz val="12"/>
        <color theme="1"/>
        <rFont val="Times New Roman"/>
        <family val="1"/>
      </rPr>
      <t>y,Web</t>
    </r>
  </si>
  <si>
    <r>
      <t>f</t>
    </r>
    <r>
      <rPr>
        <b/>
        <vertAlign val="subscript"/>
        <sz val="12"/>
        <color theme="1"/>
        <rFont val="Times New Roman"/>
        <family val="1"/>
      </rPr>
      <t>y,avg</t>
    </r>
  </si>
  <si>
    <r>
      <t>α</t>
    </r>
    <r>
      <rPr>
        <b/>
        <vertAlign val="subscript"/>
        <sz val="12"/>
        <color theme="1"/>
        <rFont val="Times New Roman"/>
        <family val="1"/>
      </rPr>
      <t>T</t>
    </r>
  </si>
  <si>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</t>
    </r>
    <r>
      <rPr>
        <vertAlign val="superscript"/>
        <sz val="12"/>
        <color theme="1"/>
        <rFont val="Times New Roman"/>
        <family val="1"/>
      </rPr>
      <t>-1</t>
    </r>
  </si>
  <si>
    <r>
      <t>e</t>
    </r>
    <r>
      <rPr>
        <b/>
        <vertAlign val="subscript"/>
        <sz val="12"/>
        <color theme="1"/>
        <rFont val="Times New Roman"/>
        <family val="1"/>
      </rPr>
      <t>∆T</t>
    </r>
  </si>
  <si>
    <r>
      <t>E</t>
    </r>
    <r>
      <rPr>
        <b/>
        <vertAlign val="subscript"/>
        <sz val="12"/>
        <color theme="1"/>
        <rFont val="Times New Roman"/>
        <family val="1"/>
      </rPr>
      <t>HF</t>
    </r>
    <r>
      <rPr>
        <b/>
        <sz val="12"/>
        <color theme="1"/>
        <rFont val="Times New Roman"/>
        <family val="1"/>
      </rPr>
      <t xml:space="preserve"> x A</t>
    </r>
    <r>
      <rPr>
        <b/>
        <vertAlign val="subscript"/>
        <sz val="12"/>
        <color theme="1"/>
        <rFont val="Times New Roman"/>
        <family val="1"/>
      </rPr>
      <t>g</t>
    </r>
    <r>
      <rPr>
        <b/>
        <sz val="12"/>
        <color theme="1"/>
        <rFont val="Times New Roman"/>
        <family val="1"/>
      </rPr>
      <t xml:space="preserve"> x Y</t>
    </r>
  </si>
  <si>
    <r>
      <t>E</t>
    </r>
    <r>
      <rPr>
        <b/>
        <vertAlign val="subscript"/>
        <sz val="12"/>
        <color theme="1"/>
        <rFont val="Times New Roman"/>
        <family val="1"/>
      </rPr>
      <t>CF</t>
    </r>
    <r>
      <rPr>
        <b/>
        <sz val="12"/>
        <color theme="1"/>
        <rFont val="Times New Roman"/>
        <family val="1"/>
      </rPr>
      <t xml:space="preserve"> x A</t>
    </r>
    <r>
      <rPr>
        <b/>
        <vertAlign val="subscript"/>
        <sz val="12"/>
        <color theme="1"/>
        <rFont val="Times New Roman"/>
        <family val="1"/>
      </rPr>
      <t>g</t>
    </r>
    <r>
      <rPr>
        <b/>
        <sz val="12"/>
        <color theme="1"/>
        <rFont val="Times New Roman"/>
        <family val="1"/>
      </rPr>
      <t xml:space="preserve"> x Y</t>
    </r>
  </si>
  <si>
    <r>
      <t>E</t>
    </r>
    <r>
      <rPr>
        <b/>
        <vertAlign val="subscript"/>
        <sz val="12"/>
        <color theme="1"/>
        <rFont val="Times New Roman"/>
        <family val="1"/>
      </rPr>
      <t>Web</t>
    </r>
    <r>
      <rPr>
        <b/>
        <sz val="12"/>
        <color theme="1"/>
        <rFont val="Times New Roman"/>
        <family val="1"/>
      </rPr>
      <t xml:space="preserve"> x A</t>
    </r>
    <r>
      <rPr>
        <b/>
        <vertAlign val="subscript"/>
        <sz val="12"/>
        <color theme="1"/>
        <rFont val="Times New Roman"/>
        <family val="1"/>
      </rPr>
      <t>g</t>
    </r>
    <r>
      <rPr>
        <b/>
        <sz val="12"/>
        <color theme="1"/>
        <rFont val="Times New Roman"/>
        <family val="1"/>
      </rPr>
      <t xml:space="preserve"> x Y</t>
    </r>
  </si>
  <si>
    <r>
      <t>Y</t>
    </r>
    <r>
      <rPr>
        <b/>
        <vertAlign val="subscript"/>
        <sz val="12"/>
        <rFont val="Times New Roman"/>
        <family val="1"/>
      </rPr>
      <t>T</t>
    </r>
  </si>
  <si>
    <r>
      <t>e</t>
    </r>
    <r>
      <rPr>
        <b/>
        <vertAlign val="subscript"/>
        <sz val="12"/>
        <color theme="1"/>
        <rFont val="Times New Roman"/>
        <family val="1"/>
      </rPr>
      <t>∆E</t>
    </r>
  </si>
  <si>
    <r>
      <t>e</t>
    </r>
    <r>
      <rPr>
        <b/>
        <vertAlign val="subscript"/>
        <sz val="12"/>
        <color theme="1"/>
        <rFont val="Times New Roman"/>
        <family val="1"/>
      </rPr>
      <t>mid-height</t>
    </r>
  </si>
  <si>
    <r>
      <t>e</t>
    </r>
    <r>
      <rPr>
        <b/>
        <vertAlign val="subscript"/>
        <sz val="12"/>
        <color theme="1"/>
        <rFont val="Times New Roman"/>
        <family val="1"/>
      </rPr>
      <t>support</t>
    </r>
  </si>
  <si>
    <r>
      <t>E</t>
    </r>
    <r>
      <rPr>
        <b/>
        <vertAlign val="subscript"/>
        <sz val="12"/>
        <color theme="1"/>
        <rFont val="Times New Roman"/>
        <family val="1"/>
      </rPr>
      <t>HF</t>
    </r>
    <r>
      <rPr>
        <b/>
        <sz val="12"/>
        <color theme="1"/>
        <rFont val="Times New Roman"/>
        <family val="1"/>
      </rPr>
      <t xml:space="preserve"> x I</t>
    </r>
    <r>
      <rPr>
        <b/>
        <vertAlign val="subscript"/>
        <sz val="12"/>
        <color theme="1"/>
        <rFont val="Times New Roman"/>
        <family val="1"/>
      </rPr>
      <t>lip</t>
    </r>
  </si>
  <si>
    <r>
      <t>Nmm</t>
    </r>
    <r>
      <rPr>
        <vertAlign val="superscript"/>
        <sz val="12"/>
        <color theme="1"/>
        <rFont val="Times New Roman"/>
        <family val="1"/>
      </rPr>
      <t>2</t>
    </r>
  </si>
  <si>
    <r>
      <t>E</t>
    </r>
    <r>
      <rPr>
        <b/>
        <vertAlign val="subscript"/>
        <sz val="12"/>
        <color theme="1"/>
        <rFont val="Times New Roman"/>
        <family val="1"/>
      </rPr>
      <t xml:space="preserve">HF </t>
    </r>
    <r>
      <rPr>
        <b/>
        <sz val="12"/>
        <color theme="1"/>
        <rFont val="Times New Roman"/>
        <family val="1"/>
      </rPr>
      <t>x I</t>
    </r>
    <r>
      <rPr>
        <b/>
        <vertAlign val="subscript"/>
        <sz val="12"/>
        <color theme="1"/>
        <rFont val="Times New Roman"/>
        <family val="1"/>
      </rPr>
      <t>HF</t>
    </r>
  </si>
  <si>
    <r>
      <t>E</t>
    </r>
    <r>
      <rPr>
        <b/>
        <vertAlign val="subscript"/>
        <sz val="12"/>
        <color theme="1"/>
        <rFont val="Times New Roman"/>
        <family val="1"/>
      </rPr>
      <t xml:space="preserve">CF </t>
    </r>
    <r>
      <rPr>
        <b/>
        <sz val="12"/>
        <color theme="1"/>
        <rFont val="Times New Roman"/>
        <family val="1"/>
      </rPr>
      <t>x I</t>
    </r>
    <r>
      <rPr>
        <b/>
        <vertAlign val="subscript"/>
        <sz val="12"/>
        <color theme="1"/>
        <rFont val="Times New Roman"/>
        <family val="1"/>
      </rPr>
      <t>Lip</t>
    </r>
  </si>
  <si>
    <r>
      <t>E</t>
    </r>
    <r>
      <rPr>
        <b/>
        <vertAlign val="subscript"/>
        <sz val="12"/>
        <color theme="1"/>
        <rFont val="Times New Roman"/>
        <family val="1"/>
      </rPr>
      <t xml:space="preserve">CF </t>
    </r>
    <r>
      <rPr>
        <b/>
        <sz val="12"/>
        <color theme="1"/>
        <rFont val="Times New Roman"/>
        <family val="1"/>
      </rPr>
      <t>x I</t>
    </r>
    <r>
      <rPr>
        <b/>
        <vertAlign val="subscript"/>
        <sz val="12"/>
        <color theme="1"/>
        <rFont val="Times New Roman"/>
        <family val="1"/>
      </rPr>
      <t>CF</t>
    </r>
  </si>
  <si>
    <r>
      <t>E</t>
    </r>
    <r>
      <rPr>
        <b/>
        <vertAlign val="subscript"/>
        <sz val="12"/>
        <color theme="1"/>
        <rFont val="Times New Roman"/>
        <family val="1"/>
      </rPr>
      <t xml:space="preserve">web </t>
    </r>
    <r>
      <rPr>
        <b/>
        <sz val="12"/>
        <color theme="1"/>
        <rFont val="Times New Roman"/>
        <family val="1"/>
      </rPr>
      <t>x I</t>
    </r>
    <r>
      <rPr>
        <b/>
        <vertAlign val="subscript"/>
        <sz val="12"/>
        <color theme="1"/>
        <rFont val="Times New Roman"/>
        <family val="1"/>
      </rPr>
      <t>Web</t>
    </r>
  </si>
  <si>
    <r>
      <t>Σ(E</t>
    </r>
    <r>
      <rPr>
        <b/>
        <vertAlign val="subscript"/>
        <sz val="12"/>
        <color theme="1"/>
        <rFont val="Times New Roman"/>
        <family val="1"/>
      </rPr>
      <t>i,T</t>
    </r>
    <r>
      <rPr>
        <b/>
        <sz val="12"/>
        <color theme="1"/>
        <rFont val="Times New Roman"/>
        <family val="1"/>
      </rPr>
      <t xml:space="preserve"> x I</t>
    </r>
    <r>
      <rPr>
        <b/>
        <vertAlign val="subscript"/>
        <sz val="12"/>
        <color theme="1"/>
        <rFont val="Times New Roman"/>
        <family val="1"/>
      </rPr>
      <t>i,T</t>
    </r>
    <r>
      <rPr>
        <b/>
        <sz val="12"/>
        <color theme="1"/>
        <rFont val="Times New Roman"/>
        <family val="1"/>
      </rPr>
      <t>)</t>
    </r>
  </si>
  <si>
    <r>
      <t>N</t>
    </r>
    <r>
      <rPr>
        <b/>
        <vertAlign val="subscript"/>
        <sz val="12"/>
        <color theme="1"/>
        <rFont val="Times New Roman"/>
        <family val="1"/>
      </rPr>
      <t>se,T</t>
    </r>
  </si>
  <si>
    <r>
      <t>N</t>
    </r>
    <r>
      <rPr>
        <b/>
        <vertAlign val="subscript"/>
        <sz val="12"/>
        <color theme="1"/>
        <rFont val="Times New Roman"/>
        <family val="1"/>
      </rPr>
      <t>cr,T</t>
    </r>
  </si>
  <si>
    <r>
      <t>N</t>
    </r>
    <r>
      <rPr>
        <b/>
        <vertAlign val="subscript"/>
        <sz val="12"/>
        <color theme="1"/>
        <rFont val="Times New Roman"/>
        <family val="1"/>
      </rPr>
      <t>ol,T</t>
    </r>
  </si>
  <si>
    <r>
      <t>λ</t>
    </r>
    <r>
      <rPr>
        <b/>
        <vertAlign val="subscript"/>
        <sz val="12"/>
        <color theme="1"/>
        <rFont val="Times New Roman"/>
        <family val="1"/>
      </rPr>
      <t>c</t>
    </r>
  </si>
  <si>
    <r>
      <t>N</t>
    </r>
    <r>
      <rPr>
        <b/>
        <vertAlign val="subscript"/>
        <sz val="12"/>
        <color theme="1"/>
        <rFont val="Times New Roman"/>
        <family val="1"/>
      </rPr>
      <t>ce,T</t>
    </r>
  </si>
  <si>
    <r>
      <t>λ</t>
    </r>
    <r>
      <rPr>
        <b/>
        <vertAlign val="subscript"/>
        <sz val="12"/>
        <color theme="1"/>
        <rFont val="Times New Roman"/>
        <family val="1"/>
      </rPr>
      <t>l</t>
    </r>
  </si>
  <si>
    <r>
      <t>N</t>
    </r>
    <r>
      <rPr>
        <b/>
        <vertAlign val="subscript"/>
        <sz val="12"/>
        <color theme="1"/>
        <rFont val="Times New Roman"/>
        <family val="1"/>
      </rPr>
      <t>cl,T</t>
    </r>
  </si>
  <si>
    <r>
      <t>Z</t>
    </r>
    <r>
      <rPr>
        <b/>
        <vertAlign val="subscript"/>
        <sz val="12"/>
        <color theme="1"/>
        <rFont val="Times New Roman"/>
        <family val="1"/>
      </rPr>
      <t>x,T</t>
    </r>
  </si>
  <si>
    <r>
      <t>M</t>
    </r>
    <r>
      <rPr>
        <b/>
        <vertAlign val="subscript"/>
        <sz val="12"/>
        <color theme="1"/>
        <rFont val="Times New Roman"/>
        <family val="1"/>
      </rPr>
      <t>ce,mid,T</t>
    </r>
  </si>
  <si>
    <r>
      <t>M</t>
    </r>
    <r>
      <rPr>
        <b/>
        <vertAlign val="subscript"/>
        <sz val="12"/>
        <color theme="1"/>
        <rFont val="Times New Roman"/>
        <family val="1"/>
      </rPr>
      <t>0l,T</t>
    </r>
  </si>
  <si>
    <r>
      <t>M</t>
    </r>
    <r>
      <rPr>
        <b/>
        <vertAlign val="subscript"/>
        <sz val="12"/>
        <color theme="1"/>
        <rFont val="Times New Roman"/>
        <family val="1"/>
      </rPr>
      <t>x,mid,T</t>
    </r>
  </si>
  <si>
    <r>
      <t>N*/N</t>
    </r>
    <r>
      <rPr>
        <b/>
        <vertAlign val="subscript"/>
        <sz val="12"/>
        <color theme="1"/>
        <rFont val="Times New Roman"/>
        <family val="1"/>
      </rPr>
      <t>cl,T</t>
    </r>
    <r>
      <rPr>
        <b/>
        <sz val="12"/>
        <color theme="1"/>
        <rFont val="Times New Roman"/>
        <family val="1"/>
      </rPr>
      <t>+M*</t>
    </r>
    <r>
      <rPr>
        <b/>
        <vertAlign val="subscript"/>
        <sz val="12"/>
        <color theme="1"/>
        <rFont val="Times New Roman"/>
        <family val="1"/>
      </rPr>
      <t>mid</t>
    </r>
    <r>
      <rPr>
        <b/>
        <sz val="12"/>
        <color theme="1"/>
        <rFont val="Times New Roman"/>
        <family val="1"/>
      </rPr>
      <t>/M</t>
    </r>
    <r>
      <rPr>
        <b/>
        <vertAlign val="subscript"/>
        <sz val="12"/>
        <color theme="1"/>
        <rFont val="Times New Roman"/>
        <family val="1"/>
      </rPr>
      <t>x,mid,T</t>
    </r>
    <r>
      <rPr>
        <b/>
        <sz val="12"/>
        <color theme="1"/>
        <rFont val="Times New Roman"/>
        <family val="1"/>
      </rPr>
      <t>=1</t>
    </r>
  </si>
  <si>
    <r>
      <t>M</t>
    </r>
    <r>
      <rPr>
        <b/>
        <vertAlign val="subscript"/>
        <sz val="12"/>
        <color theme="1"/>
        <rFont val="Times New Roman"/>
        <family val="1"/>
      </rPr>
      <t>ce,sup,T</t>
    </r>
  </si>
  <si>
    <r>
      <t>M</t>
    </r>
    <r>
      <rPr>
        <b/>
        <vertAlign val="subscript"/>
        <sz val="12"/>
        <color theme="1"/>
        <rFont val="Times New Roman"/>
        <family val="1"/>
      </rPr>
      <t>x,sup,T</t>
    </r>
  </si>
  <si>
    <r>
      <t>N*/N</t>
    </r>
    <r>
      <rPr>
        <b/>
        <vertAlign val="subscript"/>
        <sz val="12"/>
        <color theme="1"/>
        <rFont val="Times New Roman"/>
        <family val="1"/>
      </rPr>
      <t>cl,T</t>
    </r>
    <r>
      <rPr>
        <b/>
        <sz val="12"/>
        <color theme="1"/>
        <rFont val="Times New Roman"/>
        <family val="1"/>
      </rPr>
      <t>+M*</t>
    </r>
    <r>
      <rPr>
        <b/>
        <vertAlign val="subscript"/>
        <sz val="12"/>
        <color theme="1"/>
        <rFont val="Times New Roman"/>
        <family val="1"/>
      </rPr>
      <t>sup</t>
    </r>
    <r>
      <rPr>
        <b/>
        <sz val="12"/>
        <color theme="1"/>
        <rFont val="Times New Roman"/>
        <family val="1"/>
      </rPr>
      <t>/M</t>
    </r>
    <r>
      <rPr>
        <b/>
        <vertAlign val="subscript"/>
        <sz val="12"/>
        <color theme="1"/>
        <rFont val="Times New Roman"/>
        <family val="1"/>
      </rPr>
      <t>x,sup,T</t>
    </r>
    <r>
      <rPr>
        <b/>
        <sz val="12"/>
        <color theme="1"/>
        <rFont val="Times New Roman"/>
        <family val="1"/>
      </rPr>
      <t>=1</t>
    </r>
  </si>
  <si>
    <t>Local buckling moment factor at ambient temperature</t>
  </si>
  <si>
    <r>
      <t>A</t>
    </r>
    <r>
      <rPr>
        <b/>
        <vertAlign val="subscript"/>
        <sz val="12"/>
        <color theme="1"/>
        <rFont val="Times New Roman"/>
        <family val="1"/>
      </rPr>
      <t>T</t>
    </r>
  </si>
  <si>
    <r>
      <t>Y</t>
    </r>
    <r>
      <rPr>
        <b/>
        <vertAlign val="subscript"/>
        <sz val="12"/>
        <color theme="1"/>
        <rFont val="Times New Roman"/>
        <family val="1"/>
      </rPr>
      <t>T</t>
    </r>
  </si>
  <si>
    <t>3. Load Factors from Elastic buckling Analysis - Compression Member</t>
  </si>
  <si>
    <t>Screw Spacing</t>
  </si>
  <si>
    <r>
      <t>L</t>
    </r>
    <r>
      <rPr>
        <b/>
        <vertAlign val="subscript"/>
        <sz val="12"/>
        <color theme="1"/>
        <rFont val="Times New Roman"/>
        <family val="1"/>
      </rPr>
      <t>y</t>
    </r>
  </si>
  <si>
    <r>
      <t>L</t>
    </r>
    <r>
      <rPr>
        <b/>
        <vertAlign val="subscript"/>
        <sz val="12"/>
        <color theme="1"/>
        <rFont val="Times New Roman"/>
        <family val="1"/>
      </rPr>
      <t>x</t>
    </r>
  </si>
  <si>
    <t>Critical Stress</t>
  </si>
  <si>
    <t>4. Section Properties</t>
  </si>
  <si>
    <r>
      <t>I</t>
    </r>
    <r>
      <rPr>
        <b/>
        <vertAlign val="subscript"/>
        <sz val="12"/>
        <color theme="1"/>
        <rFont val="Times New Roman"/>
        <family val="1"/>
      </rPr>
      <t>yy</t>
    </r>
  </si>
  <si>
    <t>Second Moment of Area about Major Axis (y-axis)</t>
  </si>
  <si>
    <t xml:space="preserve">Elastic flexural buckling stress about the major axis </t>
  </si>
  <si>
    <t xml:space="preserve">Elastic flexural buckling stress about the minor axis </t>
  </si>
  <si>
    <t>Elastic flexural buckling stress</t>
  </si>
  <si>
    <t xml:space="preserve">Elastic flexural buckling load </t>
  </si>
  <si>
    <t>N</t>
  </si>
  <si>
    <t>Nominal yeild load</t>
  </si>
  <si>
    <t>Elastic Local buckling load</t>
  </si>
  <si>
    <r>
      <t>N</t>
    </r>
    <r>
      <rPr>
        <b/>
        <vertAlign val="subscript"/>
        <sz val="12"/>
        <color theme="1"/>
        <rFont val="Times New Roman"/>
        <family val="1"/>
      </rPr>
      <t>y,20</t>
    </r>
  </si>
  <si>
    <r>
      <t>N</t>
    </r>
    <r>
      <rPr>
        <b/>
        <vertAlign val="subscript"/>
        <sz val="12"/>
        <color theme="1"/>
        <rFont val="Times New Roman"/>
        <family val="1"/>
      </rPr>
      <t>oc,20</t>
    </r>
  </si>
  <si>
    <r>
      <t>f</t>
    </r>
    <r>
      <rPr>
        <b/>
        <vertAlign val="subscript"/>
        <sz val="12"/>
        <rFont val="Times New Roman"/>
        <family val="1"/>
      </rPr>
      <t>oc,20</t>
    </r>
  </si>
  <si>
    <r>
      <t>f</t>
    </r>
    <r>
      <rPr>
        <b/>
        <vertAlign val="subscript"/>
        <sz val="12"/>
        <rFont val="Times New Roman"/>
        <family val="1"/>
      </rPr>
      <t>oy,20</t>
    </r>
  </si>
  <si>
    <r>
      <t>f</t>
    </r>
    <r>
      <rPr>
        <b/>
        <vertAlign val="subscript"/>
        <sz val="12"/>
        <rFont val="Times New Roman"/>
        <family val="1"/>
      </rPr>
      <t>ox,20</t>
    </r>
  </si>
  <si>
    <r>
      <t>Local buckling load factor at ambient temperature (20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C)</t>
    </r>
  </si>
  <si>
    <t>Radius of gyration about major axis</t>
  </si>
  <si>
    <t>Radius of gyration about minor axis</t>
  </si>
  <si>
    <t>Mpa</t>
  </si>
  <si>
    <r>
      <t>Distortional buckling load factor at ambient temperature (20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C)</t>
    </r>
  </si>
  <si>
    <r>
      <t xml:space="preserve">DIRECT STRENGTH METHOD (DSM) </t>
    </r>
    <r>
      <rPr>
        <b/>
        <sz val="12"/>
        <color theme="1"/>
        <rFont val="Times New Roman"/>
        <family val="1"/>
      </rPr>
      <t>- AS4600 (SA, 2005)</t>
    </r>
  </si>
  <si>
    <r>
      <t>r</t>
    </r>
    <r>
      <rPr>
        <b/>
        <vertAlign val="subscript"/>
        <sz val="12"/>
        <color theme="1"/>
        <rFont val="Times New Roman"/>
        <family val="1"/>
      </rPr>
      <t>x</t>
    </r>
  </si>
  <si>
    <r>
      <t>r</t>
    </r>
    <r>
      <rPr>
        <b/>
        <vertAlign val="subscript"/>
        <sz val="12"/>
        <color theme="1"/>
        <rFont val="Times New Roman"/>
        <family val="1"/>
      </rPr>
      <t>y</t>
    </r>
  </si>
  <si>
    <r>
      <t>N</t>
    </r>
    <r>
      <rPr>
        <b/>
        <vertAlign val="subscript"/>
        <sz val="12"/>
        <color theme="1"/>
        <rFont val="Times New Roman"/>
        <family val="1"/>
      </rPr>
      <t>od,20</t>
    </r>
  </si>
  <si>
    <r>
      <t>λ</t>
    </r>
    <r>
      <rPr>
        <b/>
        <vertAlign val="subscript"/>
        <sz val="12"/>
        <color theme="1"/>
        <rFont val="Times New Roman"/>
        <family val="1"/>
      </rPr>
      <t>d</t>
    </r>
  </si>
  <si>
    <t>Elastic distortional buckling load</t>
  </si>
  <si>
    <r>
      <t>2. Mechanical Properties at Ambient Temperature (20</t>
    </r>
    <r>
      <rPr>
        <b/>
        <u/>
        <vertAlign val="superscript"/>
        <sz val="12"/>
        <color theme="1"/>
        <rFont val="Times New Roman"/>
        <family val="1"/>
      </rPr>
      <t>o</t>
    </r>
    <r>
      <rPr>
        <b/>
        <u/>
        <sz val="12"/>
        <color theme="1"/>
        <rFont val="Times New Roman"/>
        <family val="1"/>
      </rPr>
      <t>C)</t>
    </r>
  </si>
  <si>
    <r>
      <t>5. Flexural Buckling Capacity (N</t>
    </r>
    <r>
      <rPr>
        <b/>
        <u/>
        <vertAlign val="subscript"/>
        <sz val="12"/>
        <color theme="1"/>
        <rFont val="Times New Roman"/>
        <family val="1"/>
      </rPr>
      <t>ce</t>
    </r>
    <r>
      <rPr>
        <b/>
        <u/>
        <sz val="12"/>
        <color theme="1"/>
        <rFont val="Times New Roman"/>
        <family val="1"/>
      </rPr>
      <t>)</t>
    </r>
  </si>
  <si>
    <r>
      <t>6. Local Buckling Capacity (N</t>
    </r>
    <r>
      <rPr>
        <b/>
        <u/>
        <vertAlign val="subscript"/>
        <sz val="12"/>
        <color theme="1"/>
        <rFont val="Times New Roman"/>
        <family val="1"/>
      </rPr>
      <t>cl</t>
    </r>
    <r>
      <rPr>
        <b/>
        <u/>
        <sz val="12"/>
        <color theme="1"/>
        <rFont val="Times New Roman"/>
        <family val="1"/>
      </rPr>
      <t>)</t>
    </r>
  </si>
  <si>
    <r>
      <t>7. Distortional Buckling Capacity (N</t>
    </r>
    <r>
      <rPr>
        <b/>
        <u/>
        <vertAlign val="subscript"/>
        <sz val="12"/>
        <color theme="1"/>
        <rFont val="Times New Roman"/>
        <family val="1"/>
      </rPr>
      <t>cd</t>
    </r>
    <r>
      <rPr>
        <b/>
        <u/>
        <sz val="12"/>
        <color theme="1"/>
        <rFont val="Times New Roman"/>
        <family val="1"/>
      </rPr>
      <t>)</t>
    </r>
  </si>
  <si>
    <r>
      <t>N</t>
    </r>
    <r>
      <rPr>
        <b/>
        <vertAlign val="subscript"/>
        <sz val="12"/>
        <color rgb="FFC00000"/>
        <rFont val="Times New Roman"/>
        <family val="1"/>
      </rPr>
      <t>ce,20</t>
    </r>
  </si>
  <si>
    <r>
      <t>N</t>
    </r>
    <r>
      <rPr>
        <b/>
        <vertAlign val="subscript"/>
        <sz val="12"/>
        <color rgb="FFC00000"/>
        <rFont val="Times New Roman"/>
        <family val="1"/>
      </rPr>
      <t>cl,20</t>
    </r>
  </si>
  <si>
    <r>
      <t>N</t>
    </r>
    <r>
      <rPr>
        <b/>
        <vertAlign val="subscript"/>
        <sz val="12"/>
        <color rgb="FFC00000"/>
        <rFont val="Times New Roman"/>
        <family val="1"/>
      </rPr>
      <t>cd,20</t>
    </r>
  </si>
  <si>
    <t>Elastic Modulus at elevated temperature</t>
  </si>
  <si>
    <t>Yield Stregnth at elevated temperature</t>
  </si>
  <si>
    <t>Section Modulus at ambient temperature</t>
  </si>
  <si>
    <t>Stud mid-web temperature</t>
  </si>
  <si>
    <t>4. Section properties/stud mid-web temperature</t>
  </si>
  <si>
    <r>
      <t>5. Critical Buckling loads/moment at ambient temperature (20</t>
    </r>
    <r>
      <rPr>
        <b/>
        <u/>
        <vertAlign val="superscript"/>
        <sz val="12"/>
        <color theme="1"/>
        <rFont val="Times New Roman"/>
        <family val="1"/>
      </rPr>
      <t>o</t>
    </r>
    <r>
      <rPr>
        <b/>
        <u/>
        <sz val="12"/>
        <color theme="1"/>
        <rFont val="Times New Roman"/>
        <family val="1"/>
      </rPr>
      <t>C)</t>
    </r>
  </si>
  <si>
    <t>Nominal Member Compression Capacity</t>
  </si>
  <si>
    <t>Ultimate Capacity of the Stud at Ambient Temperature (Nominal Value)</t>
  </si>
  <si>
    <t>Ultimate Capacity at Support</t>
  </si>
  <si>
    <t>Ultimate Capacity at Mid-height</t>
  </si>
  <si>
    <t>6. Mechanical Properties at Elevated temperature</t>
  </si>
  <si>
    <t>7. Thermal Bowing and Neutral Axis Shift</t>
  </si>
  <si>
    <t>7.1. Thermal Bowing</t>
  </si>
  <si>
    <t>7.2. Neutral Axis Shift</t>
  </si>
  <si>
    <t>8. Element stiffness about major axis (x-axis)</t>
  </si>
  <si>
    <t>9. Column capacity at elevated temperature</t>
  </si>
  <si>
    <t>9.1 Critical buckling loads</t>
  </si>
  <si>
    <t>9.3. Local buckling capacity</t>
  </si>
  <si>
    <t>9.2 Flexural buckling capacity</t>
  </si>
  <si>
    <t>10. Section Moment capacity at elevated temperature (based on mid-web temperature)</t>
  </si>
  <si>
    <t>10.1.At mid-height</t>
  </si>
  <si>
    <t>10.2. At Support</t>
  </si>
  <si>
    <t>3. Load/Moment Factors from Elastic Buckling Analysis</t>
  </si>
  <si>
    <t>Stud Web Depth (Centreline Dimension)</t>
  </si>
  <si>
    <t>Stud Flange Width (Centreline Dimension)</t>
  </si>
  <si>
    <t>Stud Lip length (Centreline Dimension)</t>
  </si>
  <si>
    <r>
      <t>3. Mechanical Properties at Ambient Temperature (20</t>
    </r>
    <r>
      <rPr>
        <b/>
        <u/>
        <vertAlign val="superscript"/>
        <sz val="12"/>
        <color theme="1"/>
        <rFont val="Times New Roman"/>
        <family val="1"/>
      </rPr>
      <t>o</t>
    </r>
    <r>
      <rPr>
        <b/>
        <u/>
        <sz val="12"/>
        <color theme="1"/>
        <rFont val="Times New Roman"/>
        <family val="1"/>
      </rPr>
      <t>C)</t>
    </r>
  </si>
  <si>
    <t>4. Load/Moment Factors from Elastic Buckling Analysis</t>
  </si>
  <si>
    <t>Time</t>
  </si>
  <si>
    <t>Time (min)</t>
  </si>
  <si>
    <t>Stud Temperatures</t>
  </si>
  <si>
    <t>Load Ratio</t>
  </si>
  <si>
    <t>min</t>
  </si>
  <si>
    <t>Ref: DSM Ambient</t>
  </si>
  <si>
    <t>Ref: Sheet 1</t>
  </si>
  <si>
    <t>Ref: Sheet 2</t>
  </si>
  <si>
    <t>Ref: Sheet 3</t>
  </si>
  <si>
    <t>Ref: Sheet 4</t>
  </si>
  <si>
    <t>Ref: Sheet 5</t>
  </si>
  <si>
    <t>Ref: Sheet 6</t>
  </si>
  <si>
    <t>Ref: Sheet 7</t>
  </si>
  <si>
    <t>Ref: Sheet 8</t>
  </si>
  <si>
    <t>Ref: Sheet 9</t>
  </si>
  <si>
    <t>Ref: Sheet 10</t>
  </si>
  <si>
    <t>NOTES:</t>
  </si>
  <si>
    <r>
      <t>mm</t>
    </r>
    <r>
      <rPr>
        <b/>
        <vertAlign val="superscript"/>
        <sz val="12"/>
        <color theme="1"/>
        <rFont val="Times New Roman"/>
        <family val="1"/>
      </rPr>
      <t>2</t>
    </r>
  </si>
  <si>
    <r>
      <t>mm</t>
    </r>
    <r>
      <rPr>
        <b/>
        <vertAlign val="superscript"/>
        <sz val="12"/>
        <color theme="1"/>
        <rFont val="Times New Roman"/>
        <family val="1"/>
      </rPr>
      <t>4</t>
    </r>
  </si>
  <si>
    <t>Ultimate Axial Compression Capacity of the Stud (kN)</t>
  </si>
  <si>
    <r>
      <t>1. Stud axial compression capacity at ambient temperature (20</t>
    </r>
    <r>
      <rPr>
        <b/>
        <vertAlign val="superscript"/>
        <sz val="11"/>
        <color theme="1"/>
        <rFont val="Times New Roman"/>
        <family val="1"/>
      </rPr>
      <t>o</t>
    </r>
    <r>
      <rPr>
        <b/>
        <sz val="11"/>
        <color theme="1"/>
        <rFont val="Times New Roman"/>
        <family val="1"/>
      </rPr>
      <t xml:space="preserve">C) </t>
    </r>
  </si>
  <si>
    <t>-</t>
  </si>
  <si>
    <t>Input parameters</t>
  </si>
  <si>
    <t xml:space="preserve">Output </t>
  </si>
  <si>
    <t>Distortional buckling capacity</t>
  </si>
  <si>
    <t>Ultimate Capacity of the Stud at Ambient Temperature (Nominal Value) - Flexural and Local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</si>
</sst>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E+00"/>
    <numFmt numFmtId="167" formatCode="0.0000000E+00"/>
  </numFmts>
  <fonts count="21" x14ac:knownFonts="1">
    <font>
      <sz val="11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vertAlign val="subscript"/>
      <sz val="12"/>
      <name val="Times New Roman"/>
      <family val="1"/>
    </font>
    <font>
      <b/>
      <sz val="16"/>
      <color rgb="FFC00000"/>
      <name val="Times New Roman"/>
      <family val="1"/>
    </font>
    <font>
      <b/>
      <sz val="16"/>
      <color rgb="FFFF0000"/>
      <name val="Times New Roman"/>
      <family val="1"/>
    </font>
    <font>
      <b/>
      <u/>
      <vertAlign val="superscript"/>
      <sz val="12"/>
      <color theme="1"/>
      <name val="Times New Roman"/>
      <family val="1"/>
    </font>
    <font>
      <b/>
      <u/>
      <vertAlign val="subscript"/>
      <sz val="12"/>
      <color theme="1"/>
      <name val="Times New Roman"/>
      <family val="1"/>
    </font>
    <font>
      <sz val="12"/>
      <color rgb="FFC00000"/>
      <name val="Times New Roman"/>
      <family val="1"/>
    </font>
    <font>
      <b/>
      <sz val="12"/>
      <color rgb="FFC00000"/>
      <name val="Times New Roman"/>
      <family val="1"/>
    </font>
    <font>
      <b/>
      <vertAlign val="subscript"/>
      <sz val="12"/>
      <color rgb="FFC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sz val="14"/>
      <color rgb="FFC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5" borderId="0" xfId="0" applyFont="1" applyFill="1"/>
    <xf numFmtId="0" fontId="3" fillId="5" borderId="0" xfId="0" applyFont="1" applyFill="1"/>
    <xf numFmtId="0" fontId="3" fillId="2" borderId="0" xfId="0" applyFont="1" applyFill="1"/>
    <xf numFmtId="2" fontId="3" fillId="0" borderId="0" xfId="0" applyNumberFormat="1" applyFont="1"/>
    <xf numFmtId="2" fontId="6" fillId="0" borderId="0" xfId="0" applyNumberFormat="1" applyFont="1"/>
    <xf numFmtId="3" fontId="3" fillId="0" borderId="0" xfId="0" applyNumberFormat="1" applyFont="1"/>
    <xf numFmtId="2" fontId="3" fillId="0" borderId="0" xfId="0" applyNumberFormat="1" applyFont="1" applyAlignment="1">
      <alignment horizontal="right"/>
    </xf>
    <xf numFmtId="1" fontId="3" fillId="0" borderId="0" xfId="0" applyNumberFormat="1" applyFont="1"/>
    <xf numFmtId="11" fontId="3" fillId="0" borderId="0" xfId="0" applyNumberFormat="1" applyFont="1"/>
    <xf numFmtId="0" fontId="7" fillId="0" borderId="0" xfId="0" applyFont="1"/>
    <xf numFmtId="164" fontId="3" fillId="0" borderId="0" xfId="0" applyNumberFormat="1" applyFont="1"/>
    <xf numFmtId="2" fontId="7" fillId="0" borderId="0" xfId="0" applyNumberFormat="1" applyFont="1"/>
    <xf numFmtId="165" fontId="3" fillId="0" borderId="0" xfId="0" applyNumberFormat="1" applyFont="1"/>
    <xf numFmtId="2" fontId="2" fillId="4" borderId="0" xfId="0" applyNumberFormat="1" applyFont="1" applyFill="1"/>
    <xf numFmtId="2" fontId="2" fillId="0" borderId="0" xfId="0" applyNumberFormat="1" applyFont="1"/>
    <xf numFmtId="0" fontId="2" fillId="4" borderId="0" xfId="0" applyFont="1" applyFill="1"/>
    <xf numFmtId="0" fontId="3" fillId="0" borderId="0" xfId="0" applyFont="1" applyAlignment="1">
      <alignment horizontal="center"/>
    </xf>
    <xf numFmtId="0" fontId="1" fillId="5" borderId="0" xfId="0" applyFont="1" applyFill="1"/>
    <xf numFmtId="3" fontId="3" fillId="2" borderId="0" xfId="0" applyNumberFormat="1" applyFont="1" applyFill="1"/>
    <xf numFmtId="3" fontId="6" fillId="0" borderId="0" xfId="0" applyNumberFormat="1" applyFont="1"/>
    <xf numFmtId="165" fontId="3" fillId="2" borderId="0" xfId="0" applyNumberFormat="1" applyFont="1" applyFill="1"/>
    <xf numFmtId="0" fontId="9" fillId="4" borderId="0" xfId="0" applyFont="1" applyFill="1" applyAlignment="1">
      <alignment horizontal="left" vertical="center"/>
    </xf>
    <xf numFmtId="0" fontId="14" fillId="4" borderId="0" xfId="0" applyFont="1" applyFill="1"/>
    <xf numFmtId="3" fontId="14" fillId="4" borderId="0" xfId="0" applyNumberFormat="1" applyFont="1" applyFill="1"/>
    <xf numFmtId="2" fontId="9" fillId="4" borderId="0" xfId="0" applyNumberFormat="1" applyFont="1" applyFill="1" applyAlignment="1">
      <alignment horizontal="right" vertical="center"/>
    </xf>
    <xf numFmtId="4" fontId="9" fillId="4" borderId="0" xfId="0" applyNumberFormat="1" applyFont="1" applyFill="1" applyAlignment="1">
      <alignment horizontal="left" vertical="center"/>
    </xf>
    <xf numFmtId="2" fontId="14" fillId="4" borderId="0" xfId="0" applyNumberFormat="1" applyFont="1" applyFill="1"/>
    <xf numFmtId="2" fontId="13" fillId="4" borderId="0" xfId="0" applyNumberFormat="1" applyFont="1" applyFill="1"/>
    <xf numFmtId="4" fontId="9" fillId="4" borderId="0" xfId="0" applyNumberFormat="1" applyFont="1" applyFill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3" fontId="2" fillId="2" borderId="0" xfId="0" applyNumberFormat="1" applyFont="1" applyFill="1"/>
    <xf numFmtId="165" fontId="2" fillId="2" borderId="0" xfId="0" applyNumberFormat="1" applyFont="1" applyFill="1"/>
    <xf numFmtId="3" fontId="2" fillId="2" borderId="1" xfId="0" applyNumberFormat="1" applyFont="1" applyFill="1" applyBorder="1" applyAlignment="1">
      <alignment horizontal="center"/>
    </xf>
    <xf numFmtId="0" fontId="20" fillId="6" borderId="0" xfId="0" applyFont="1" applyFill="1"/>
    <xf numFmtId="3" fontId="20" fillId="6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7" fillId="0" borderId="0" xfId="0" applyFont="1"/>
    <xf numFmtId="0" fontId="16" fillId="0" borderId="0" xfId="0" applyFont="1"/>
    <xf numFmtId="0" fontId="2" fillId="0" borderId="1" xfId="0" applyFont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/>
    </xf>
    <xf numFmtId="0" fontId="17" fillId="0" borderId="0" xfId="0" applyFont="1" applyAlignment="1">
      <alignment horizontal="left"/>
    </xf>
    <xf numFmtId="2" fontId="2" fillId="2" borderId="0" xfId="0" applyNumberFormat="1" applyFont="1" applyFill="1"/>
    <xf numFmtId="165" fontId="3" fillId="0" borderId="0" xfId="0" applyNumberFormat="1" applyFont="1" applyAlignment="1">
      <alignment horizontal="right"/>
    </xf>
    <xf numFmtId="166" fontId="3" fillId="0" borderId="0" xfId="0" applyNumberFormat="1" applyFont="1"/>
    <xf numFmtId="167" fontId="3" fillId="0" borderId="0" xfId="0" applyNumberFormat="1" applyFont="1"/>
    <xf numFmtId="3" fontId="0" fillId="0" borderId="0" xfId="0" applyNumberFormat="1"/>
    <xf numFmtId="0" fontId="17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9" fillId="4" borderId="0" xfId="0" applyFont="1" applyFill="1" applyAlignment="1">
      <alignment horizontal="center" vertical="center" wrapText="1"/>
    </xf>
    <xf numFmtId="2" fontId="10" fillId="3" borderId="0" xfId="0" applyNumberFormat="1" applyFont="1" applyFill="1" applyAlignment="1">
      <alignment horizontal="right" vertical="center"/>
    </xf>
    <xf numFmtId="2" fontId="10" fillId="3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9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87248380885699"/>
          <c:y val="0.10208987123923709"/>
          <c:w val="0.7446150383836363"/>
          <c:h val="0.69722459457459662"/>
        </c:manualLayout>
      </c:layout>
      <c:scatterChart>
        <c:scatterStyle val="lineMarker"/>
        <c:varyColors val="0"/>
        <c:ser>
          <c:idx val="1"/>
          <c:order val="0"/>
          <c:tx>
            <c:v>DSM - Draft AS/NZS 4600 (2017)</c:v>
          </c:tx>
          <c:spPr>
            <a:ln w="19050">
              <a:solidFill>
                <a:srgbClr val="C0000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'Input-Output Screen'!$F$6:$F$16</c:f>
              <c:numCache>
                <c:formatCode>#,##0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75</c:v>
                </c:pt>
                <c:pt idx="4">
                  <c:v>81</c:v>
                </c:pt>
                <c:pt idx="5">
                  <c:v>90</c:v>
                </c:pt>
                <c:pt idx="6">
                  <c:v>110</c:v>
                </c:pt>
                <c:pt idx="7">
                  <c:v>114</c:v>
                </c:pt>
                <c:pt idx="8">
                  <c:v>120</c:v>
                </c:pt>
                <c:pt idx="9">
                  <c:v>130</c:v>
                </c:pt>
                <c:pt idx="10">
                  <c:v>132</c:v>
                </c:pt>
              </c:numCache>
            </c:numRef>
          </c:xVal>
          <c:yVal>
            <c:numRef>
              <c:f>'Input-Output Screen'!$J$6:$J$16</c:f>
              <c:numCache>
                <c:formatCode>0.000</c:formatCode>
                <c:ptCount val="11"/>
                <c:pt idx="0">
                  <c:v>1</c:v>
                </c:pt>
                <c:pt idx="1">
                  <c:v>0.79861870252808653</c:v>
                </c:pt>
                <c:pt idx="2">
                  <c:v>0.72161129969921156</c:v>
                </c:pt>
                <c:pt idx="3">
                  <c:v>0.58341450189316246</c:v>
                </c:pt>
                <c:pt idx="4">
                  <c:v>0.51538684792175871</c:v>
                </c:pt>
                <c:pt idx="5">
                  <c:v>0.43247313354356065</c:v>
                </c:pt>
                <c:pt idx="6">
                  <c:v>0.43212046356942801</c:v>
                </c:pt>
                <c:pt idx="7">
                  <c:v>0.41742302375197837</c:v>
                </c:pt>
                <c:pt idx="8">
                  <c:v>0.36197943489429651</c:v>
                </c:pt>
                <c:pt idx="9">
                  <c:v>0.30308043598063039</c:v>
                </c:pt>
                <c:pt idx="10">
                  <c:v>0.2887955228371068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81-4266-8DC4-DEC613D9BDAA}"/>
            </c:ext>
          </c:extLst>
        </c:ser>
        <c:ser>
          <c:idx val="0"/>
          <c:order val="1"/>
          <c:tx>
            <c:v>Experiment</c:v>
          </c:tx>
          <c:xVal>
            <c:numRef>
              <c:f>'Input-Output Screen'!$Q$27:$Q$28</c:f>
              <c:numCache>
                <c:formatCode>General</c:formatCode>
                <c:ptCount val="2"/>
                <c:pt idx="0">
                  <c:v>0</c:v>
                </c:pt>
                <c:pt idx="1">
                  <c:v>132</c:v>
                </c:pt>
              </c:numCache>
            </c:numRef>
          </c:xVal>
          <c:yVal>
            <c:numRef>
              <c:f>'Input-Output Screen'!$R$27:$R$28</c:f>
              <c:numCache>
                <c:formatCode>General</c:formatCode>
                <c:ptCount val="2"/>
                <c:pt idx="0">
                  <c:v>0.4</c:v>
                </c:pt>
                <c:pt idx="1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5-4F2F-AF43-F05DCFAC71F6}"/>
            </c:ext>
          </c:extLst>
        </c:ser>
        <c:ser>
          <c:idx val="2"/>
          <c:order val="2"/>
          <c:tx>
            <c:v>y line</c:v>
          </c:tx>
          <c:xVal>
            <c:numRef>
              <c:f>'Input-Output Screen'!$Q$31:$Q$32</c:f>
              <c:numCache>
                <c:formatCode>General</c:formatCode>
                <c:ptCount val="2"/>
                <c:pt idx="0">
                  <c:v>114</c:v>
                </c:pt>
                <c:pt idx="1">
                  <c:v>114</c:v>
                </c:pt>
              </c:numCache>
            </c:numRef>
          </c:xVal>
          <c:yVal>
            <c:numRef>
              <c:f>'Input-Output Screen'!$R$31:$R$32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F-4AFD-8E3E-F0B03BB40276}"/>
            </c:ext>
          </c:extLst>
        </c:ser>
        <c:ser>
          <c:idx val="3"/>
          <c:order val="3"/>
          <c:tx>
            <c:v>y2</c:v>
          </c:tx>
          <c:xVal>
            <c:numRef>
              <c:f>'Input-Output Screen'!$Q$35:$Q$36</c:f>
              <c:numCache>
                <c:formatCode>General</c:formatCode>
                <c:ptCount val="2"/>
                <c:pt idx="0">
                  <c:v>0</c:v>
                </c:pt>
                <c:pt idx="1">
                  <c:v>81</c:v>
                </c:pt>
              </c:numCache>
            </c:numRef>
          </c:xVal>
          <c:yVal>
            <c:numRef>
              <c:f>'Input-Output Screen'!$R$35:$R$36</c:f>
              <c:numCache>
                <c:formatCode>General</c:formatCode>
                <c:ptCount val="2"/>
                <c:pt idx="0">
                  <c:v>0.52610000000000001</c:v>
                </c:pt>
                <c:pt idx="1">
                  <c:v>0.52610000000000001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1F-4AFD-8E3E-F0B03BB40276}"/>
            </c:ext>
          </c:extLst>
        </c:ser>
        <c:ser>
          <c:idx val="4"/>
          <c:order val="4"/>
          <c:xVal>
            <c:numRef>
              <c:f>'Input-Output Screen'!$T$35:$T$36</c:f>
              <c:numCache>
                <c:formatCode>General</c:formatCode>
                <c:ptCount val="2"/>
                <c:pt idx="0">
                  <c:v>74</c:v>
                </c:pt>
                <c:pt idx="1">
                  <c:v>74</c:v>
                </c:pt>
              </c:numCache>
            </c:numRef>
          </c:xVal>
          <c:yVal>
            <c:numRef>
              <c:f>'Input-Output Screen'!$U$35:$U$36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1F-4AFD-8E3E-F0B03BB40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69856"/>
        <c:axId val="150172416"/>
      </c:scatterChart>
      <c:valAx>
        <c:axId val="150169856"/>
        <c:scaling>
          <c:orientation val="minMax"/>
        </c:scaling>
        <c:delete val="0"/>
        <c:axPos val="b"/>
        <c:majorGridlines>
          <c:spPr>
            <a:ln w="6350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Time (min)</a:t>
                </a:r>
              </a:p>
            </c:rich>
          </c:tx>
          <c:layout>
            <c:manualLayout>
              <c:xMode val="edge"/>
              <c:yMode val="edge"/>
              <c:x val="0.76923932884899116"/>
              <c:y val="0.8626204945469103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noFill/>
          <a:ln w="6350" cmpd="sng">
            <a:solidFill>
              <a:schemeClr val="tx1">
                <a:lumMod val="95000"/>
                <a:lumOff val="5000"/>
              </a:schemeClr>
            </a:solidFill>
          </a:ln>
        </c:spPr>
        <c:txPr>
          <a:bodyPr rot="0" vert="horz"/>
          <a:lstStyle/>
          <a:p>
            <a:pPr>
              <a:defRPr b="1"/>
            </a:pPr>
            <a:endParaRPr lang="en-US"/>
          </a:p>
        </c:txPr>
        <c:crossAx val="150172416"/>
        <c:crosses val="autoZero"/>
        <c:crossBetween val="midCat"/>
        <c:majorUnit val="10"/>
      </c:valAx>
      <c:valAx>
        <c:axId val="150172416"/>
        <c:scaling>
          <c:orientation val="minMax"/>
          <c:max val="1.2"/>
          <c:min val="0"/>
        </c:scaling>
        <c:delete val="0"/>
        <c:axPos val="l"/>
        <c:majorGridlines>
          <c:spPr>
            <a:ln w="6350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AU" sz="1200"/>
                  <a:t>Load Ratio</a:t>
                </a:r>
              </a:p>
            </c:rich>
          </c:tx>
          <c:layout>
            <c:manualLayout>
              <c:xMode val="edge"/>
              <c:yMode val="edge"/>
              <c:x val="3.9615319696931814E-2"/>
              <c:y val="0.32394133533157426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spPr>
          <a:ln w="6350" cmpd="sng"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150169856"/>
        <c:crosses val="autoZero"/>
        <c:crossBetween val="midCat"/>
        <c:majorUnit val="0.1"/>
        <c:minorUnit val="0.1"/>
      </c:valAx>
    </c:plotArea>
    <c:legend>
      <c:legendPos val="b"/>
      <c:layout>
        <c:manualLayout>
          <c:xMode val="edge"/>
          <c:yMode val="edge"/>
          <c:x val="0.1623099512865368"/>
          <c:y val="0.88684739409367452"/>
          <c:w val="0.83768997057186034"/>
          <c:h val="5.3874337573395055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2">
            <a:lumMod val="20000"/>
            <a:lumOff val="80000"/>
          </a:schemeClr>
        </a:gs>
        <a:gs pos="74000">
          <a:schemeClr val="accent2">
            <a:lumMod val="40000"/>
            <a:lumOff val="60000"/>
          </a:schemeClr>
        </a:gs>
        <a:gs pos="83000">
          <a:schemeClr val="accent2">
            <a:lumMod val="40000"/>
            <a:lumOff val="60000"/>
          </a:schemeClr>
        </a:gs>
        <a:gs pos="100000">
          <a:schemeClr val="accent2">
            <a:lumMod val="75000"/>
          </a:schemeClr>
        </a:gs>
      </a:gsLst>
      <a:lin ang="5400000" scaled="1"/>
    </a:gradFill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039971" y="4045323"/>
    <xdr:ext cx="6286500" cy="45159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U36"/>
  <sheetViews>
    <sheetView tabSelected="1" zoomScaleNormal="100" workbookViewId="0">
      <selection activeCell="C18" sqref="C18"/>
    </sheetView>
  </sheetViews>
  <sheetFormatPr defaultRowHeight="15" x14ac:dyDescent="0.25"/>
  <cols>
    <col min="1" max="1" width="63.42578125" customWidth="1"/>
    <col min="2" max="2" width="4.7109375" bestFit="1" customWidth="1"/>
    <col min="3" max="3" width="11.28515625" bestFit="1" customWidth="1"/>
    <col min="4" max="4" width="6.42578125" customWidth="1"/>
    <col min="5" max="5" width="4.85546875" customWidth="1"/>
    <col min="6" max="6" width="13" customWidth="1"/>
    <col min="7" max="7" width="11" customWidth="1"/>
    <col min="8" max="8" width="10.85546875" customWidth="1"/>
    <col min="9" max="9" width="30.28515625" customWidth="1"/>
    <col min="10" max="10" width="10.5703125" customWidth="1"/>
    <col min="11" max="11" width="18.7109375" customWidth="1"/>
    <col min="12" max="12" width="5.42578125" customWidth="1"/>
    <col min="13" max="13" width="3.42578125" customWidth="1"/>
    <col min="15" max="15" width="3.5703125" customWidth="1"/>
  </cols>
  <sheetData>
    <row r="1" spans="1:19" ht="21" customHeight="1" x14ac:dyDescent="0.25">
      <c r="A1" s="1" t="s">
        <v>47</v>
      </c>
      <c r="B1" s="2"/>
      <c r="C1" s="3"/>
      <c r="D1" s="3"/>
      <c r="E1" s="3"/>
    </row>
    <row r="2" spans="1:19" ht="21" customHeight="1" x14ac:dyDescent="0.25">
      <c r="A2" s="2" t="s">
        <v>0</v>
      </c>
      <c r="B2" s="2"/>
      <c r="C2" s="3"/>
      <c r="D2" s="3"/>
      <c r="E2" s="3"/>
    </row>
    <row r="3" spans="1:19" ht="21" customHeight="1" x14ac:dyDescent="0.25">
      <c r="A3" s="3"/>
      <c r="B3" s="2"/>
      <c r="C3" s="3"/>
      <c r="D3" s="3"/>
      <c r="E3" s="3"/>
      <c r="F3" s="56" t="s">
        <v>173</v>
      </c>
      <c r="G3" s="56" t="s">
        <v>174</v>
      </c>
      <c r="H3" s="56"/>
      <c r="I3" s="57" t="s">
        <v>191</v>
      </c>
      <c r="J3" s="57" t="s">
        <v>175</v>
      </c>
      <c r="M3" s="58" t="s">
        <v>188</v>
      </c>
      <c r="N3" s="58"/>
      <c r="O3" s="58"/>
      <c r="P3" s="58"/>
      <c r="Q3" s="58"/>
      <c r="R3" s="58"/>
      <c r="S3" s="58"/>
    </row>
    <row r="4" spans="1:19" ht="18.75" customHeight="1" x14ac:dyDescent="0.25">
      <c r="A4" s="21" t="s">
        <v>24</v>
      </c>
      <c r="B4" s="4"/>
      <c r="C4" s="5"/>
      <c r="D4" s="5"/>
      <c r="E4" s="3"/>
      <c r="F4" s="56"/>
      <c r="G4" s="56"/>
      <c r="H4" s="56"/>
      <c r="I4" s="57"/>
      <c r="J4" s="57"/>
      <c r="M4" s="58"/>
      <c r="N4" s="58"/>
      <c r="O4" s="58"/>
      <c r="P4" s="58"/>
      <c r="Q4" s="58"/>
      <c r="R4" s="58"/>
      <c r="S4" s="58"/>
    </row>
    <row r="5" spans="1:19" ht="18.75" customHeight="1" x14ac:dyDescent="0.25">
      <c r="A5" s="5" t="s">
        <v>167</v>
      </c>
      <c r="B5" s="4" t="s">
        <v>1</v>
      </c>
      <c r="C5" s="38">
        <v>89.25</v>
      </c>
      <c r="D5" s="4" t="s">
        <v>2</v>
      </c>
      <c r="E5" s="3"/>
      <c r="F5" s="56"/>
      <c r="G5" s="47" t="s">
        <v>12</v>
      </c>
      <c r="H5" s="47" t="s">
        <v>15</v>
      </c>
      <c r="I5" s="57"/>
      <c r="J5" s="57"/>
      <c r="M5" s="58"/>
      <c r="N5" s="58"/>
      <c r="O5" s="58"/>
      <c r="P5" s="58"/>
      <c r="Q5" s="58"/>
      <c r="R5" s="58"/>
      <c r="S5" s="58"/>
    </row>
    <row r="6" spans="1:19" ht="18.75" customHeight="1" x14ac:dyDescent="0.25">
      <c r="A6" s="5" t="s">
        <v>168</v>
      </c>
      <c r="B6" s="4" t="s">
        <v>3</v>
      </c>
      <c r="C6" s="38">
        <v>36.200000000000003</v>
      </c>
      <c r="D6" s="4" t="s">
        <v>2</v>
      </c>
      <c r="E6" s="3"/>
      <c r="F6" s="48">
        <v>0</v>
      </c>
      <c r="G6" s="48">
        <v>20</v>
      </c>
      <c r="H6" s="48">
        <v>20</v>
      </c>
      <c r="I6" s="33">
        <f>IF(G6&lt;=0,C27,'DSM-AS4600 (SA, 2005)-Ambient'!C50)</f>
        <v>18.877436723900434</v>
      </c>
      <c r="J6" s="34">
        <f t="shared" ref="J6:J8" si="0">I6/$I$6</f>
        <v>1</v>
      </c>
      <c r="K6" s="45" t="s">
        <v>177</v>
      </c>
      <c r="L6" s="45"/>
      <c r="M6" s="55" t="s">
        <v>192</v>
      </c>
      <c r="N6" s="55"/>
      <c r="O6" s="55"/>
      <c r="P6" s="55"/>
      <c r="Q6" s="55"/>
      <c r="R6" s="55"/>
      <c r="S6" s="55"/>
    </row>
    <row r="7" spans="1:19" ht="18.75" customHeight="1" x14ac:dyDescent="0.25">
      <c r="A7" s="5" t="s">
        <v>169</v>
      </c>
      <c r="B7" s="4" t="s">
        <v>4</v>
      </c>
      <c r="C7" s="38">
        <v>6.625</v>
      </c>
      <c r="D7" s="4" t="s">
        <v>2</v>
      </c>
      <c r="E7" s="3"/>
      <c r="F7" s="41">
        <v>30</v>
      </c>
      <c r="G7" s="41">
        <v>89.002960000000002</v>
      </c>
      <c r="H7" s="41">
        <v>73.551322999999996</v>
      </c>
      <c r="I7" s="35">
        <f>IF(G7&lt;=0,C27,'DSM -Temp (Sheet 1) '!C152)</f>
        <v>15.075874023497416</v>
      </c>
      <c r="J7" s="36">
        <f t="shared" si="0"/>
        <v>0.79861870252808653</v>
      </c>
      <c r="K7" s="45" t="s">
        <v>178</v>
      </c>
      <c r="L7" s="45"/>
      <c r="M7" s="49">
        <v>2</v>
      </c>
      <c r="N7" s="41"/>
      <c r="O7" t="s">
        <v>193</v>
      </c>
      <c r="P7" s="55" t="s">
        <v>194</v>
      </c>
      <c r="Q7" s="55"/>
      <c r="R7" s="55"/>
      <c r="S7" s="55"/>
    </row>
    <row r="8" spans="1:19" ht="18.75" customHeight="1" x14ac:dyDescent="0.25">
      <c r="A8" s="5" t="s">
        <v>27</v>
      </c>
      <c r="B8" s="4" t="s">
        <v>5</v>
      </c>
      <c r="C8" s="38">
        <v>0.75</v>
      </c>
      <c r="D8" s="4" t="s">
        <v>2</v>
      </c>
      <c r="E8" s="3"/>
      <c r="F8" s="41">
        <v>60</v>
      </c>
      <c r="G8" s="41">
        <v>139.55946399999999</v>
      </c>
      <c r="H8" s="41">
        <v>101.054169</v>
      </c>
      <c r="I8" s="35">
        <f>IF(G8&lt;=0,C28,'DSM -Temp (Sheet 2)'!C152)</f>
        <v>13.622171649323418</v>
      </c>
      <c r="J8" s="36">
        <f t="shared" si="0"/>
        <v>0.72161129969921156</v>
      </c>
      <c r="K8" s="45" t="s">
        <v>179</v>
      </c>
      <c r="L8" s="45"/>
      <c r="M8" s="49">
        <v>3</v>
      </c>
      <c r="N8" s="35"/>
      <c r="O8" t="s">
        <v>193</v>
      </c>
      <c r="P8" s="55" t="s">
        <v>195</v>
      </c>
      <c r="Q8" s="55"/>
      <c r="R8" s="55"/>
      <c r="S8" s="55"/>
    </row>
    <row r="9" spans="1:19" ht="18.75" customHeight="1" x14ac:dyDescent="0.3">
      <c r="A9" s="5" t="s">
        <v>28</v>
      </c>
      <c r="B9" s="4" t="s">
        <v>109</v>
      </c>
      <c r="C9" s="38">
        <v>3000</v>
      </c>
      <c r="D9" s="4" t="s">
        <v>2</v>
      </c>
      <c r="E9" s="3"/>
      <c r="F9" s="41">
        <v>75</v>
      </c>
      <c r="G9" s="41">
        <v>274</v>
      </c>
      <c r="H9" s="41">
        <v>195</v>
      </c>
      <c r="I9" s="35">
        <f>IF(G9&lt;=0,C28,'DSM -Temp (Sheet 3)'!C152)</f>
        <v>11.013370343294064</v>
      </c>
      <c r="J9" s="36">
        <f>I9/$I$6</f>
        <v>0.58341450189316246</v>
      </c>
      <c r="K9" s="45" t="s">
        <v>180</v>
      </c>
      <c r="L9" s="45"/>
      <c r="M9" s="46"/>
    </row>
    <row r="10" spans="1:19" ht="18.75" customHeight="1" x14ac:dyDescent="0.3">
      <c r="A10" s="5" t="s">
        <v>107</v>
      </c>
      <c r="B10" s="4" t="s">
        <v>108</v>
      </c>
      <c r="C10" s="38">
        <v>300</v>
      </c>
      <c r="D10" s="4" t="s">
        <v>2</v>
      </c>
      <c r="E10" s="3"/>
      <c r="F10" s="41">
        <v>81</v>
      </c>
      <c r="G10" s="41">
        <v>352</v>
      </c>
      <c r="H10" s="41">
        <v>261</v>
      </c>
      <c r="I10" s="35">
        <f>IF(G10&lt;=0,C29,'DSM -Temp (Sheet 4)'!C152)</f>
        <v>9.7291826099734955</v>
      </c>
      <c r="J10" s="36">
        <f>I10/$I$6</f>
        <v>0.51538684792175871</v>
      </c>
      <c r="K10" s="45" t="s">
        <v>181</v>
      </c>
      <c r="L10" s="45"/>
      <c r="M10" s="46"/>
    </row>
    <row r="11" spans="1:19" ht="18.75" customHeight="1" x14ac:dyDescent="0.3">
      <c r="A11" s="5" t="s">
        <v>29</v>
      </c>
      <c r="B11" s="4" t="s">
        <v>48</v>
      </c>
      <c r="C11" s="38">
        <v>128.3683</v>
      </c>
      <c r="D11" s="4" t="s">
        <v>189</v>
      </c>
      <c r="E11" s="3"/>
      <c r="F11" s="41">
        <v>90</v>
      </c>
      <c r="G11" s="41">
        <v>429.44787600000001</v>
      </c>
      <c r="H11" s="41">
        <v>300.14373799999998</v>
      </c>
      <c r="I11" s="35">
        <f>IF(G11&lt;=0,C30,'DSM -Temp (Sheet 5)'!C152)</f>
        <v>8.1639842132555085</v>
      </c>
      <c r="J11" s="36">
        <f>I11/$I$6</f>
        <v>0.43247313354356065</v>
      </c>
      <c r="K11" s="45" t="s">
        <v>182</v>
      </c>
      <c r="L11" s="45"/>
      <c r="M11" s="46"/>
      <c r="Q11" s="54">
        <f>G10-H10</f>
        <v>91</v>
      </c>
    </row>
    <row r="12" spans="1:19" ht="18.75" customHeight="1" x14ac:dyDescent="0.3">
      <c r="A12" s="5" t="s">
        <v>30</v>
      </c>
      <c r="B12" s="4" t="s">
        <v>50</v>
      </c>
      <c r="C12" s="39">
        <v>163708</v>
      </c>
      <c r="D12" s="4" t="s">
        <v>190</v>
      </c>
      <c r="E12" s="3"/>
      <c r="F12" s="41">
        <v>110</v>
      </c>
      <c r="G12" s="41">
        <v>447.84811400000001</v>
      </c>
      <c r="H12" s="41">
        <v>340.54977400000001</v>
      </c>
      <c r="I12" s="35">
        <f>IF(G12&lt;=0,C31,'DSM -Temp (Sheet 6)'!C152)</f>
        <v>8.1573267081344003</v>
      </c>
      <c r="J12" s="36">
        <f>I12/$I$6</f>
        <v>0.43212046356942801</v>
      </c>
      <c r="K12" s="45" t="s">
        <v>183</v>
      </c>
      <c r="L12" s="45"/>
      <c r="M12" s="46"/>
      <c r="Q12" s="54">
        <f>G11-H11</f>
        <v>129.30413800000002</v>
      </c>
    </row>
    <row r="13" spans="1:19" ht="18.75" customHeight="1" x14ac:dyDescent="0.3">
      <c r="A13" s="5" t="s">
        <v>113</v>
      </c>
      <c r="B13" s="4" t="s">
        <v>112</v>
      </c>
      <c r="C13" s="39">
        <v>21837</v>
      </c>
      <c r="D13" s="4" t="s">
        <v>190</v>
      </c>
      <c r="E13" s="3"/>
      <c r="F13" s="41">
        <v>114</v>
      </c>
      <c r="G13" s="41">
        <v>467</v>
      </c>
      <c r="H13" s="41">
        <v>364</v>
      </c>
      <c r="I13" s="35">
        <f>IF(G13&lt;=0,C32,'DSM -Temp (Sheet 7)'!C152)</f>
        <v>7.8798767179771598</v>
      </c>
      <c r="J13" s="36">
        <f>I13/$I$6</f>
        <v>0.41742302375197837</v>
      </c>
      <c r="K13" s="45" t="s">
        <v>184</v>
      </c>
      <c r="L13" s="45"/>
      <c r="M13" s="46"/>
    </row>
    <row r="14" spans="1:19" ht="18.75" customHeight="1" x14ac:dyDescent="0.25">
      <c r="A14" s="5"/>
      <c r="B14" s="4"/>
      <c r="C14" s="5"/>
      <c r="D14" s="4"/>
      <c r="E14" s="3"/>
      <c r="F14" s="41">
        <v>120</v>
      </c>
      <c r="G14" s="41">
        <v>523.47735599999999</v>
      </c>
      <c r="H14" s="41">
        <v>435.56613199999998</v>
      </c>
      <c r="I14" s="35">
        <f>IF(G14&lt;=0,C33,'DSM -Temp (Sheet 8)'!C152)</f>
        <v>6.833243877570319</v>
      </c>
      <c r="J14" s="36">
        <f t="shared" ref="J14:J16" si="1">I14/$I$6</f>
        <v>0.36197943489429651</v>
      </c>
      <c r="K14" s="45" t="s">
        <v>185</v>
      </c>
      <c r="L14" s="45"/>
      <c r="M14" s="46"/>
    </row>
    <row r="15" spans="1:19" ht="18.75" customHeight="1" x14ac:dyDescent="0.25">
      <c r="A15" s="21" t="s">
        <v>170</v>
      </c>
      <c r="B15" s="4"/>
      <c r="C15" s="5"/>
      <c r="D15" s="4"/>
      <c r="E15" s="3"/>
      <c r="F15" s="41">
        <v>130</v>
      </c>
      <c r="G15" s="41">
        <v>580.90258800000004</v>
      </c>
      <c r="H15" s="41">
        <v>506.04751599999997</v>
      </c>
      <c r="I15" s="35">
        <f>IF(G15&lt;=0,C34,'DSM -Temp (Sheet 9)'!C152)</f>
        <v>5.7213817524765069</v>
      </c>
      <c r="J15" s="36">
        <f t="shared" si="1"/>
        <v>0.30308043598063039</v>
      </c>
      <c r="K15" s="45" t="s">
        <v>186</v>
      </c>
      <c r="L15" s="45"/>
      <c r="M15" s="46"/>
    </row>
    <row r="16" spans="1:19" ht="18.75" customHeight="1" x14ac:dyDescent="0.3">
      <c r="A16" s="5" t="s">
        <v>33</v>
      </c>
      <c r="B16" s="4" t="s">
        <v>58</v>
      </c>
      <c r="C16" s="39">
        <v>200000</v>
      </c>
      <c r="D16" s="4" t="s">
        <v>6</v>
      </c>
      <c r="E16" s="3"/>
      <c r="F16" s="41">
        <v>132</v>
      </c>
      <c r="G16" s="41">
        <v>593</v>
      </c>
      <c r="H16" s="41">
        <v>513</v>
      </c>
      <c r="I16" s="35">
        <f>IF(G16&lt;=0,C35,'DSM -Temp (Sheet 10)'!C152)</f>
        <v>5.451719208503226</v>
      </c>
      <c r="J16" s="36">
        <f t="shared" si="1"/>
        <v>0.2887955228371068</v>
      </c>
      <c r="K16" s="45" t="s">
        <v>187</v>
      </c>
      <c r="L16" s="45"/>
      <c r="M16" s="46"/>
    </row>
    <row r="17" spans="1:18" ht="18.75" customHeight="1" x14ac:dyDescent="0.3">
      <c r="A17" s="5" t="s">
        <v>34</v>
      </c>
      <c r="B17" s="4" t="s">
        <v>59</v>
      </c>
      <c r="C17" s="38">
        <v>646.9</v>
      </c>
      <c r="D17" s="4" t="s">
        <v>6</v>
      </c>
      <c r="E17" s="3"/>
    </row>
    <row r="18" spans="1:18" ht="18.75" customHeight="1" x14ac:dyDescent="0.25">
      <c r="A18" s="5"/>
      <c r="B18" s="4"/>
      <c r="C18" s="5"/>
      <c r="D18" s="5"/>
      <c r="E18" s="3"/>
    </row>
    <row r="19" spans="1:18" ht="18.75" customHeight="1" x14ac:dyDescent="0.25">
      <c r="A19" s="21" t="s">
        <v>171</v>
      </c>
      <c r="B19" s="4"/>
      <c r="C19" s="5"/>
      <c r="D19" s="5"/>
      <c r="E19" s="3"/>
    </row>
    <row r="20" spans="1:18" ht="18.75" customHeight="1" x14ac:dyDescent="0.25">
      <c r="A20" s="4" t="s">
        <v>25</v>
      </c>
      <c r="B20" s="4"/>
      <c r="C20" s="5"/>
      <c r="D20" s="5"/>
      <c r="E20" s="3"/>
    </row>
    <row r="21" spans="1:18" ht="18.75" customHeight="1" x14ac:dyDescent="0.25">
      <c r="A21" s="5" t="s">
        <v>26</v>
      </c>
      <c r="B21" s="4"/>
      <c r="C21" s="50">
        <v>0.13728000000000001</v>
      </c>
      <c r="D21" s="5"/>
      <c r="E21" s="3"/>
    </row>
    <row r="22" spans="1:18" ht="18.75" customHeight="1" x14ac:dyDescent="0.25">
      <c r="A22" s="5" t="s">
        <v>130</v>
      </c>
      <c r="B22" s="4"/>
      <c r="C22" s="50">
        <v>0.21584</v>
      </c>
      <c r="D22" s="5"/>
      <c r="E22" s="3"/>
    </row>
    <row r="23" spans="1:18" ht="18.75" customHeight="1" x14ac:dyDescent="0.25">
      <c r="A23" s="5"/>
      <c r="B23" s="4"/>
      <c r="C23" s="5"/>
      <c r="D23" s="5"/>
      <c r="E23" s="3"/>
    </row>
    <row r="24" spans="1:18" ht="18.75" customHeight="1" x14ac:dyDescent="0.25">
      <c r="A24" s="4" t="s">
        <v>35</v>
      </c>
      <c r="B24" s="4"/>
      <c r="C24" s="5"/>
      <c r="D24" s="5"/>
      <c r="E24" s="3"/>
    </row>
    <row r="25" spans="1:18" ht="18.75" customHeight="1" x14ac:dyDescent="0.25">
      <c r="A25" s="5" t="s">
        <v>103</v>
      </c>
      <c r="B25" s="4"/>
      <c r="C25" s="40">
        <v>0.40137</v>
      </c>
      <c r="D25" s="5"/>
      <c r="E25" s="3"/>
    </row>
    <row r="26" spans="1:18" ht="18.75" customHeight="1" x14ac:dyDescent="0.25">
      <c r="A26" s="5"/>
      <c r="B26" s="4"/>
      <c r="C26" s="4"/>
      <c r="D26" s="5"/>
      <c r="E26" s="3"/>
    </row>
    <row r="27" spans="1:18" x14ac:dyDescent="0.25">
      <c r="C27" s="37" t="s">
        <v>193</v>
      </c>
      <c r="Q27">
        <v>0</v>
      </c>
      <c r="R27">
        <v>0.4</v>
      </c>
    </row>
    <row r="28" spans="1:18" x14ac:dyDescent="0.25">
      <c r="Q28">
        <v>132</v>
      </c>
      <c r="R28">
        <v>0.4</v>
      </c>
    </row>
    <row r="31" spans="1:18" x14ac:dyDescent="0.25">
      <c r="Q31">
        <v>114</v>
      </c>
      <c r="R31">
        <v>0</v>
      </c>
    </row>
    <row r="32" spans="1:18" x14ac:dyDescent="0.25">
      <c r="Q32">
        <v>114</v>
      </c>
      <c r="R32">
        <v>1</v>
      </c>
    </row>
    <row r="35" spans="17:21" x14ac:dyDescent="0.25">
      <c r="Q35">
        <v>0</v>
      </c>
      <c r="R35">
        <v>0.52610000000000001</v>
      </c>
      <c r="T35">
        <v>74</v>
      </c>
      <c r="U35">
        <v>0</v>
      </c>
    </row>
    <row r="36" spans="17:21" x14ac:dyDescent="0.25">
      <c r="Q36">
        <v>81</v>
      </c>
      <c r="R36">
        <v>0.52610000000000001</v>
      </c>
      <c r="T36">
        <v>74</v>
      </c>
      <c r="U36">
        <v>1</v>
      </c>
    </row>
  </sheetData>
  <mergeCells count="8">
    <mergeCell ref="M6:S6"/>
    <mergeCell ref="P7:S7"/>
    <mergeCell ref="P8:S8"/>
    <mergeCell ref="F3:F5"/>
    <mergeCell ref="G3:H4"/>
    <mergeCell ref="I3:I5"/>
    <mergeCell ref="J3:J5"/>
    <mergeCell ref="M3:S5"/>
  </mergeCell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53"/>
  <sheetViews>
    <sheetView zoomScale="85" zoomScaleNormal="85" workbookViewId="0">
      <selection activeCell="C15" sqref="C15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Screen'!F13</f>
        <v>114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89.25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36.200000000000003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0.75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300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128.3683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163708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Screen'!G13</f>
        <v>467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Screen'!H13</f>
        <v>364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646.9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0.13728000000000001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0.40137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3668.5266106442577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415.5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83.041453270000005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11.399930704905602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952519.18848457152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2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97930</v>
      </c>
      <c r="D39" s="3" t="s">
        <v>6</v>
      </c>
    </row>
    <row r="40" spans="1:4" ht="17.25" x14ac:dyDescent="0.3">
      <c r="A40" s="62"/>
      <c r="B40" s="2" t="s">
        <v>64</v>
      </c>
      <c r="C40" s="9">
        <f>IF(IF(C14&lt;=200,C17*(1.0167-0.000835*C14),C17*(1.1201-0.00135*C14))&gt;200000,200000,IF(C14&lt;=200,C17*(1.0167-0.000835*C14),C17*(1.1201-0.00135*C14)))</f>
        <v>125740.00000000001</v>
      </c>
      <c r="D40" s="3" t="s">
        <v>6</v>
      </c>
    </row>
    <row r="41" spans="1:4" ht="17.25" x14ac:dyDescent="0.3">
      <c r="A41" s="62"/>
      <c r="B41" s="2" t="s">
        <v>65</v>
      </c>
      <c r="C41" s="9">
        <f>IF(IF(C30&lt;=200,C17*(1.0167-0.000835*C30),C17*(1.1201-0.00135*C30))&gt;200000,200000,IF(C30&lt;=200,C17*(1.0167-0.000835*C30),C17*(1.1201-0.00135*C30)))</f>
        <v>111835.00000000001</v>
      </c>
      <c r="D41" s="3" t="s">
        <v>6</v>
      </c>
    </row>
    <row r="42" spans="1:4" ht="17.25" x14ac:dyDescent="0.3">
      <c r="A42" s="62"/>
      <c r="B42" s="2" t="s">
        <v>66</v>
      </c>
      <c r="C42" s="9">
        <f>IF(((C39*(C6+C7)*C8+C40*(C6+C7)*C8+C41*C5*C8)/C11)&gt;200000,200000,(C39*(C6+C7)*C8+C40*(C6+C7)*C8+C41*C5*C8)/C11)</f>
        <v>115456.3344299177</v>
      </c>
      <c r="D42" s="3" t="s">
        <v>6</v>
      </c>
    </row>
    <row r="44" spans="1:4" ht="17.25" x14ac:dyDescent="0.3">
      <c r="A44" s="62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246.02020523416479</v>
      </c>
      <c r="D44" s="3" t="s">
        <v>6</v>
      </c>
    </row>
    <row r="45" spans="1:4" ht="17.25" x14ac:dyDescent="0.3">
      <c r="A45" s="62"/>
      <c r="B45" s="2" t="s">
        <v>68</v>
      </c>
      <c r="C45" s="10">
        <f>IF(IF(C14&lt;=200,C18*(1.01-0.0005*C14),C18*25*(1.16-C14^0.022))&gt;300,300,IF(C14&lt;=200,C18*(1.01-0.0005*C14),C18*25*(1.16-C14^0.022)))</f>
        <v>300</v>
      </c>
      <c r="D45" s="3" t="s">
        <v>6</v>
      </c>
    </row>
    <row r="46" spans="1:4" ht="17.25" x14ac:dyDescent="0.3">
      <c r="A46" s="62"/>
      <c r="B46" s="2" t="s">
        <v>69</v>
      </c>
      <c r="C46" s="10">
        <f>IF(IF(C30&lt;=200,C18*(1.01-0.0005*C30),C18*25*(1.16-C30^0.022))&gt;300,300,IF(C30&lt;=200,C18*(1.01-0.0005*C30),C18*25*(1.16-C30^0.022)))</f>
        <v>293.55186373898459</v>
      </c>
      <c r="D46" s="3" t="s">
        <v>6</v>
      </c>
    </row>
    <row r="47" spans="1:4" ht="17.25" x14ac:dyDescent="0.3">
      <c r="A47" s="62"/>
      <c r="B47" s="2" t="s">
        <v>70</v>
      </c>
      <c r="C47" s="7">
        <f>IF((C44*(C6+C7)*C8+C45*(C6+C7)*C8+C46*C5*C8)/C11&gt;300,300,(C44*(C6+C7)*C8+C45*(C6+C7)*C8+C46*C5*C8)/C11)</f>
        <v>292.56193300391277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1.297112768647282E-5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16.840665777815552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2079505.29609375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60665787.623437509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304685309.25000006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334060755.82031256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47.331118779139892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2.7061187791398922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14.13454699867566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2.7061187791398922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1051742395.4437975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5956459810.3375292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1036527702.8249018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5998936176.1615152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5023973983.8243093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19067640068.592052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37.555677984426175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20.910007148818213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6.3745562519155907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1.3401725326428076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17.709160160950901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1.6667635864156651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10.594913829506254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10.594913829506254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128.3683</v>
      </c>
      <c r="D94" s="3" t="s">
        <v>49</v>
      </c>
    </row>
    <row r="95" spans="1:4" ht="17.25" x14ac:dyDescent="0.3">
      <c r="B95" s="2" t="s">
        <v>105</v>
      </c>
      <c r="C95" s="16">
        <f>C60</f>
        <v>47.331118779139892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3489.252594117464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1024276.6020592683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532624.91722086037</v>
      </c>
      <c r="D102" s="3" t="s">
        <v>38</v>
      </c>
    </row>
    <row r="105" spans="1:4" ht="17.25" x14ac:dyDescent="0.3">
      <c r="B105" s="2" t="s">
        <v>91</v>
      </c>
      <c r="C105" s="16">
        <f>SQRT(C100/C102)</f>
        <v>1.3867490792074288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697474.61415650812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8722.1803300446554</v>
      </c>
    </row>
    <row r="113" spans="1:6" x14ac:dyDescent="0.25">
      <c r="A113" s="3">
        <v>2</v>
      </c>
      <c r="B113" s="18">
        <f>D112/1000</f>
        <v>8.7221803300446545</v>
      </c>
      <c r="C113" s="16">
        <f>(1-B113/$C$80)</f>
        <v>0.58287052376557358</v>
      </c>
      <c r="D113" s="11">
        <f t="shared" si="1"/>
        <v>7742.7519511232749</v>
      </c>
    </row>
    <row r="114" spans="1:6" x14ac:dyDescent="0.25">
      <c r="A114" s="3">
        <v>3</v>
      </c>
      <c r="B114" s="18">
        <f>D113/1000</f>
        <v>7.7427519511232745</v>
      </c>
      <c r="C114" s="16">
        <f t="shared" si="0"/>
        <v>0.62971069803958057</v>
      </c>
      <c r="D114" s="11">
        <f t="shared" si="1"/>
        <v>7900.962030136674</v>
      </c>
    </row>
    <row r="115" spans="1:6" x14ac:dyDescent="0.25">
      <c r="A115" s="3">
        <v>4</v>
      </c>
      <c r="B115" s="18">
        <f t="shared" ref="B115:B121" si="2">D114/1000</f>
        <v>7.9009620301366743</v>
      </c>
      <c r="C115" s="16">
        <f t="shared" si="0"/>
        <v>0.62214446059702955</v>
      </c>
      <c r="D115" s="11">
        <f t="shared" si="1"/>
        <v>7876.6052318657748</v>
      </c>
    </row>
    <row r="116" spans="1:6" x14ac:dyDescent="0.25">
      <c r="A116" s="3">
        <v>5</v>
      </c>
      <c r="B116" s="18">
        <f t="shared" si="2"/>
        <v>7.8766052318657751</v>
      </c>
      <c r="C116" s="16">
        <f t="shared" si="0"/>
        <v>0.62330929990567019</v>
      </c>
      <c r="D116" s="11">
        <f t="shared" si="1"/>
        <v>7880.3836594478507</v>
      </c>
    </row>
    <row r="117" spans="1:6" x14ac:dyDescent="0.25">
      <c r="A117" s="3">
        <v>6</v>
      </c>
      <c r="B117" s="18">
        <f t="shared" si="2"/>
        <v>7.8803836594478511</v>
      </c>
      <c r="C117" s="16">
        <f t="shared" si="0"/>
        <v>0.62312860041785145</v>
      </c>
      <c r="D117" s="11">
        <f t="shared" si="1"/>
        <v>7879.7982070670523</v>
      </c>
    </row>
    <row r="118" spans="1:6" x14ac:dyDescent="0.25">
      <c r="A118" s="3">
        <v>7</v>
      </c>
      <c r="B118" s="18">
        <f t="shared" si="2"/>
        <v>7.8797982070670525</v>
      </c>
      <c r="C118" s="16">
        <f t="shared" si="0"/>
        <v>0.62315659908741816</v>
      </c>
      <c r="D118" s="11">
        <f t="shared" si="1"/>
        <v>7879.8889371259575</v>
      </c>
    </row>
    <row r="119" spans="1:6" x14ac:dyDescent="0.25">
      <c r="A119" s="3">
        <v>8</v>
      </c>
      <c r="B119" s="18">
        <f t="shared" si="2"/>
        <v>7.8798889371259575</v>
      </c>
      <c r="C119" s="16">
        <f t="shared" si="0"/>
        <v>0.62315226001387036</v>
      </c>
      <c r="D119" s="11">
        <f t="shared" si="1"/>
        <v>7879.8748766978078</v>
      </c>
    </row>
    <row r="120" spans="1:6" x14ac:dyDescent="0.25">
      <c r="A120" s="3">
        <v>9</v>
      </c>
      <c r="B120" s="18">
        <f t="shared" si="2"/>
        <v>7.8798748766978077</v>
      </c>
      <c r="C120" s="16">
        <f t="shared" si="0"/>
        <v>0.62315293243966385</v>
      </c>
      <c r="D120" s="11">
        <f t="shared" si="1"/>
        <v>7879.8770556504878</v>
      </c>
    </row>
    <row r="121" spans="1:6" x14ac:dyDescent="0.25">
      <c r="A121" s="3">
        <v>10</v>
      </c>
      <c r="B121" s="18">
        <f t="shared" si="2"/>
        <v>7.8798770556504882</v>
      </c>
      <c r="C121" s="16">
        <f t="shared" si="0"/>
        <v>0.62315282823344986</v>
      </c>
      <c r="D121" s="11">
        <f t="shared" si="1"/>
        <v>7879.8767179771594</v>
      </c>
    </row>
    <row r="123" spans="1:6" x14ac:dyDescent="0.25">
      <c r="A123" s="30" t="s">
        <v>153</v>
      </c>
      <c r="B123" s="30"/>
      <c r="C123" s="31"/>
      <c r="D123" s="30">
        <f>D121/1000</f>
        <v>7.8798767179771598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858426.63931862044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532624.91722086037</v>
      </c>
      <c r="D128" s="3" t="s">
        <v>38</v>
      </c>
    </row>
    <row r="131" spans="1:4" ht="17.25" x14ac:dyDescent="0.3">
      <c r="B131" s="2" t="s">
        <v>91</v>
      </c>
      <c r="C131" s="16">
        <f>SQRT(C126/C128)</f>
        <v>1.269523818452936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621339.56871182006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10127.586444448751</v>
      </c>
    </row>
    <row r="139" spans="1:4" x14ac:dyDescent="0.25">
      <c r="A139" s="3">
        <v>2</v>
      </c>
      <c r="B139" s="18">
        <f>D138/1000</f>
        <v>10.127586444448751</v>
      </c>
      <c r="C139" s="16">
        <f t="shared" si="3"/>
        <v>0.51565839397519575</v>
      </c>
      <c r="D139" s="11">
        <f t="shared" si="4"/>
        <v>9724.693724149276</v>
      </c>
    </row>
    <row r="140" spans="1:4" x14ac:dyDescent="0.25">
      <c r="A140" s="3">
        <v>3</v>
      </c>
      <c r="B140" s="18">
        <f>D139/1000</f>
        <v>9.7246937241492759</v>
      </c>
      <c r="C140" s="16">
        <f t="shared" si="3"/>
        <v>0.53492633192624739</v>
      </c>
      <c r="D140" s="11">
        <f t="shared" si="4"/>
        <v>9753.5496921267659</v>
      </c>
    </row>
    <row r="141" spans="1:4" x14ac:dyDescent="0.25">
      <c r="A141" s="3">
        <v>4</v>
      </c>
      <c r="B141" s="18">
        <f>D140/1000</f>
        <v>9.7535496921267661</v>
      </c>
      <c r="C141" s="16">
        <f t="shared" si="3"/>
        <v>0.53354632436469474</v>
      </c>
      <c r="D141" s="11">
        <f t="shared" si="4"/>
        <v>9751.5467453538949</v>
      </c>
    </row>
    <row r="142" spans="1:4" x14ac:dyDescent="0.25">
      <c r="A142" s="3">
        <v>5</v>
      </c>
      <c r="B142" s="18">
        <f>D141/1000</f>
        <v>9.7515467453538953</v>
      </c>
      <c r="C142" s="16">
        <f t="shared" si="3"/>
        <v>0.53364211327373789</v>
      </c>
      <c r="D142" s="11">
        <f t="shared" si="4"/>
        <v>9751.6860815859418</v>
      </c>
    </row>
    <row r="143" spans="1:4" x14ac:dyDescent="0.25">
      <c r="A143" s="3">
        <v>6</v>
      </c>
      <c r="B143" s="18">
        <f>D142/1000</f>
        <v>9.751686081585941</v>
      </c>
      <c r="C143" s="16">
        <f t="shared" si="3"/>
        <v>0.53363544965898857</v>
      </c>
      <c r="D143" s="11">
        <f t="shared" si="4"/>
        <v>9751.6763900647493</v>
      </c>
    </row>
    <row r="144" spans="1:4" ht="18.75" customHeight="1" x14ac:dyDescent="0.25">
      <c r="A144" s="3">
        <v>7</v>
      </c>
      <c r="B144" s="18">
        <f t="shared" ref="B144:B147" si="5">D143/1000</f>
        <v>9.7516763900647501</v>
      </c>
      <c r="C144" s="16">
        <f t="shared" si="3"/>
        <v>0.53363591314621361</v>
      </c>
      <c r="D144" s="11">
        <f t="shared" si="4"/>
        <v>9751.6770641649891</v>
      </c>
    </row>
    <row r="145" spans="1:5" x14ac:dyDescent="0.25">
      <c r="A145" s="3">
        <v>8</v>
      </c>
      <c r="B145" s="18">
        <f t="shared" si="5"/>
        <v>9.7516770641649888</v>
      </c>
      <c r="C145" s="16">
        <f t="shared" si="3"/>
        <v>0.5336358809080497</v>
      </c>
      <c r="D145" s="11">
        <f t="shared" si="4"/>
        <v>9751.6770172775305</v>
      </c>
    </row>
    <row r="146" spans="1:5" x14ac:dyDescent="0.25">
      <c r="A146" s="3">
        <v>9</v>
      </c>
      <c r="B146" s="18">
        <f t="shared" si="5"/>
        <v>9.7516770172775313</v>
      </c>
      <c r="C146" s="16">
        <f t="shared" si="3"/>
        <v>0.53363588315039512</v>
      </c>
      <c r="D146" s="11">
        <f t="shared" si="4"/>
        <v>9751.6770205388166</v>
      </c>
    </row>
    <row r="147" spans="1:5" x14ac:dyDescent="0.25">
      <c r="A147" s="3">
        <v>10</v>
      </c>
      <c r="B147" s="18">
        <f t="shared" si="5"/>
        <v>9.7516770205388159</v>
      </c>
      <c r="C147" s="16">
        <f t="shared" si="3"/>
        <v>0.53363588299442744</v>
      </c>
      <c r="D147" s="11">
        <f t="shared" si="4"/>
        <v>9751.6770203119759</v>
      </c>
    </row>
    <row r="149" spans="1:5" x14ac:dyDescent="0.25">
      <c r="A149" s="30" t="s">
        <v>152</v>
      </c>
      <c r="B149" s="30"/>
      <c r="C149" s="31"/>
      <c r="D149" s="30">
        <f>D147/1000</f>
        <v>9.7516770203119751</v>
      </c>
      <c r="E149" s="30" t="s">
        <v>8</v>
      </c>
    </row>
    <row r="152" spans="1:5" ht="30" customHeight="1" x14ac:dyDescent="0.25">
      <c r="A152" s="63" t="s">
        <v>46</v>
      </c>
      <c r="B152" s="63">
        <f>MIN(D149,D123)</f>
        <v>7.8798767179771598</v>
      </c>
      <c r="C152" s="28">
        <f>IF(F123=TRUE,D149,MIN(D149,D123))</f>
        <v>7.8798767179771598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5FD4A-103A-4478-8280-BD66790EF5AD}">
  <dimension ref="A1:H153"/>
  <sheetViews>
    <sheetView topLeftCell="A113" zoomScale="85" zoomScaleNormal="85" workbookViewId="0">
      <selection activeCell="C152" sqref="C152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Screen'!F14</f>
        <v>120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89.25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36.200000000000003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0.75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300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128.3683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163708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Screen'!G14</f>
        <v>523.47735599999999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Screen'!H14</f>
        <v>435.56613199999998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646.9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0.13728000000000001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0.40137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3668.5266106442577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479.52174400000001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83.041453270000005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11.399930704905602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952519.18848457152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2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82681.113880000019</v>
      </c>
      <c r="D39" s="3" t="s">
        <v>6</v>
      </c>
    </row>
    <row r="40" spans="1:4" ht="17.25" x14ac:dyDescent="0.3">
      <c r="A40" s="62"/>
      <c r="B40" s="2" t="s">
        <v>64</v>
      </c>
      <c r="C40" s="9">
        <f>IF(IF(C14&lt;=200,C17*(1.0167-0.000835*C14),C17*(1.1201-0.00135*C14))&gt;200000,200000,IF(C14&lt;=200,C17*(1.0167-0.000835*C14),C17*(1.1201-0.00135*C14)))</f>
        <v>106417.14436000002</v>
      </c>
      <c r="D40" s="3" t="s">
        <v>6</v>
      </c>
    </row>
    <row r="41" spans="1:4" ht="17.25" x14ac:dyDescent="0.3">
      <c r="A41" s="62"/>
      <c r="B41" s="2" t="s">
        <v>65</v>
      </c>
      <c r="C41" s="9">
        <f>IF(IF(C30&lt;=200,C17*(1.0167-0.000835*C30),C17*(1.1201-0.00135*C30))&gt;200000,200000,IF(C30&lt;=200,C17*(1.0167-0.000835*C30),C17*(1.1201-0.00135*C30)))</f>
        <v>94549.129120000012</v>
      </c>
      <c r="D41" s="3" t="s">
        <v>6</v>
      </c>
    </row>
    <row r="42" spans="1:4" ht="17.25" x14ac:dyDescent="0.3">
      <c r="A42" s="62"/>
      <c r="B42" s="2" t="s">
        <v>66</v>
      </c>
      <c r="C42" s="9">
        <f>IF(((C39*(C6+C7)*C8+C40*(C6+C7)*C8+C41*C5*C8)/C11)&gt;200000,200000,(C39*(C6+C7)*C8+C40*(C6+C7)*C8+C41*C5*C8)/C11)</f>
        <v>97610.728946539006</v>
      </c>
      <c r="D42" s="3" t="s">
        <v>6</v>
      </c>
    </row>
    <row r="44" spans="1:4" ht="17.25" x14ac:dyDescent="0.3">
      <c r="A44" s="62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199.46143938163584</v>
      </c>
      <c r="D44" s="3" t="s">
        <v>6</v>
      </c>
    </row>
    <row r="45" spans="1:4" ht="17.25" x14ac:dyDescent="0.3">
      <c r="A45" s="62"/>
      <c r="B45" s="2" t="s">
        <v>68</v>
      </c>
      <c r="C45" s="10">
        <f>IF(IF(C14&lt;=200,C18*(1.01-0.0005*C14),C18*25*(1.16-C14^0.022))&gt;300,300,IF(C14&lt;=200,C18*(1.01-0.0005*C14),C18*25*(1.16-C14^0.022)))</f>
        <v>274.38087183649708</v>
      </c>
      <c r="D45" s="3" t="s">
        <v>6</v>
      </c>
    </row>
    <row r="46" spans="1:4" ht="17.25" x14ac:dyDescent="0.3">
      <c r="A46" s="62"/>
      <c r="B46" s="2" t="s">
        <v>69</v>
      </c>
      <c r="C46" s="10">
        <f>IF(IF(C30&lt;=200,C18*(1.01-0.0005*C30),C18*25*(1.16-C30^0.022))&gt;300,300,IF(C30&lt;=200,C18*(1.01-0.0005*C30),C18*25*(1.16-C30^0.022)))</f>
        <v>235.23965860460117</v>
      </c>
      <c r="D46" s="3" t="s">
        <v>6</v>
      </c>
    </row>
    <row r="47" spans="1:4" ht="17.25" x14ac:dyDescent="0.3">
      <c r="A47" s="62"/>
      <c r="B47" s="2" t="s">
        <v>70</v>
      </c>
      <c r="C47" s="7">
        <f>IF((C44*(C6+C7)*C8+C45*(C6+C7)*C8+C46*C5*C8)/C11&gt;300,300,(C44*(C6+C7)*C8+C45*(C6+C7)*C8+C46*C5*C8)/C11)</f>
        <v>243.71609611839634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1.3312322954700499E-5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14.751713511315346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1755701.1559316912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51343087.95320861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257863373.14162958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282426373.99722379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47.356958930595908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2.7319589305959084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12.019754580719438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2.7319589305959084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889024374.13304615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5034459389.5476894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876057351.22791278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5070803822.5917149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4248328556.8291178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16118673494.329479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31.285420941355138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17.676103428817399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5.3892676008858622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1.3303862091443492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14.914717071728585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1.6635759578636757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8.9352329808432795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8.9352329808432795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128.3683</v>
      </c>
      <c r="D94" s="3" t="s">
        <v>49</v>
      </c>
    </row>
    <row r="95" spans="1:4" ht="17.25" x14ac:dyDescent="0.3">
      <c r="B95" s="2" t="s">
        <v>105</v>
      </c>
      <c r="C95" s="16">
        <f>C60</f>
        <v>47.356958930595908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3486.9677931516167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820273.11322622583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450299.29870652693</v>
      </c>
      <c r="D102" s="3" t="s">
        <v>38</v>
      </c>
    </row>
    <row r="105" spans="1:4" ht="17.25" x14ac:dyDescent="0.3">
      <c r="B105" s="2" t="s">
        <v>91</v>
      </c>
      <c r="C105" s="16">
        <f>SQRT(C100/C102)</f>
        <v>1.3496731336343299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569168.23104141257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7516.8412014385376</v>
      </c>
    </row>
    <row r="113" spans="1:6" x14ac:dyDescent="0.25">
      <c r="A113" s="3">
        <v>2</v>
      </c>
      <c r="B113" s="18">
        <f>D112/1000</f>
        <v>7.5168412014385373</v>
      </c>
      <c r="C113" s="16">
        <f>(1-B113/$C$80)</f>
        <v>0.57474557491082501</v>
      </c>
      <c r="D113" s="11">
        <f t="shared" si="1"/>
        <v>6726.7636887464942</v>
      </c>
    </row>
    <row r="114" spans="1:6" x14ac:dyDescent="0.25">
      <c r="A114" s="3">
        <v>3</v>
      </c>
      <c r="B114" s="18">
        <f>D113/1000</f>
        <v>6.7267636887464946</v>
      </c>
      <c r="C114" s="16">
        <f t="shared" si="0"/>
        <v>0.61944306810403504</v>
      </c>
      <c r="D114" s="11">
        <f t="shared" si="1"/>
        <v>6848.912393067375</v>
      </c>
    </row>
    <row r="115" spans="1:6" x14ac:dyDescent="0.25">
      <c r="A115" s="3">
        <v>4</v>
      </c>
      <c r="B115" s="18">
        <f t="shared" ref="B115:B121" si="2">D114/1000</f>
        <v>6.8489123930673745</v>
      </c>
      <c r="C115" s="16">
        <f t="shared" si="0"/>
        <v>0.61253268172771747</v>
      </c>
      <c r="D115" s="11">
        <f t="shared" si="1"/>
        <v>6830.9184092414835</v>
      </c>
    </row>
    <row r="116" spans="1:6" x14ac:dyDescent="0.25">
      <c r="A116" s="3">
        <v>5</v>
      </c>
      <c r="B116" s="18">
        <f t="shared" si="2"/>
        <v>6.8309184092414839</v>
      </c>
      <c r="C116" s="16">
        <f t="shared" si="0"/>
        <v>0.61355066535167357</v>
      </c>
      <c r="D116" s="11">
        <f t="shared" si="1"/>
        <v>6833.5886103512858</v>
      </c>
    </row>
    <row r="117" spans="1:6" x14ac:dyDescent="0.25">
      <c r="A117" s="3">
        <v>6</v>
      </c>
      <c r="B117" s="18">
        <f t="shared" si="2"/>
        <v>6.8335886103512857</v>
      </c>
      <c r="C117" s="16">
        <f t="shared" si="0"/>
        <v>0.61339960258376469</v>
      </c>
      <c r="D117" s="11">
        <f t="shared" si="1"/>
        <v>6833.1927965164805</v>
      </c>
    </row>
    <row r="118" spans="1:6" x14ac:dyDescent="0.25">
      <c r="A118" s="3">
        <v>7</v>
      </c>
      <c r="B118" s="18">
        <f t="shared" si="2"/>
        <v>6.8331927965164807</v>
      </c>
      <c r="C118" s="16">
        <f t="shared" si="0"/>
        <v>0.61342199517930474</v>
      </c>
      <c r="D118" s="11">
        <f t="shared" si="1"/>
        <v>6833.2514788842445</v>
      </c>
    </row>
    <row r="119" spans="1:6" x14ac:dyDescent="0.25">
      <c r="A119" s="3">
        <v>8</v>
      </c>
      <c r="B119" s="18">
        <f t="shared" si="2"/>
        <v>6.8332514788842449</v>
      </c>
      <c r="C119" s="16">
        <f t="shared" si="0"/>
        <v>0.61341867530917615</v>
      </c>
      <c r="D119" s="11">
        <f t="shared" si="1"/>
        <v>6833.2427789902522</v>
      </c>
    </row>
    <row r="120" spans="1:6" x14ac:dyDescent="0.25">
      <c r="A120" s="3">
        <v>9</v>
      </c>
      <c r="B120" s="18">
        <f t="shared" si="2"/>
        <v>6.8332427789902521</v>
      </c>
      <c r="C120" s="16">
        <f t="shared" si="0"/>
        <v>0.61341916749310266</v>
      </c>
      <c r="D120" s="11">
        <f t="shared" si="1"/>
        <v>6833.2440687886219</v>
      </c>
    </row>
    <row r="121" spans="1:6" x14ac:dyDescent="0.25">
      <c r="A121" s="3">
        <v>10</v>
      </c>
      <c r="B121" s="18">
        <f t="shared" si="2"/>
        <v>6.8332440687886216</v>
      </c>
      <c r="C121" s="16">
        <f t="shared" si="0"/>
        <v>0.6134190945246244</v>
      </c>
      <c r="D121" s="11">
        <f t="shared" si="1"/>
        <v>6833.2438775703195</v>
      </c>
    </row>
    <row r="123" spans="1:6" x14ac:dyDescent="0.25">
      <c r="A123" s="30" t="s">
        <v>153</v>
      </c>
      <c r="B123" s="30"/>
      <c r="C123" s="31"/>
      <c r="D123" s="30">
        <f>D121/1000</f>
        <v>6.833243877570319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695515.61509942764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450299.29870652693</v>
      </c>
      <c r="D128" s="3" t="s">
        <v>38</v>
      </c>
    </row>
    <row r="131" spans="1:4" ht="17.25" x14ac:dyDescent="0.3">
      <c r="B131" s="2" t="s">
        <v>91</v>
      </c>
      <c r="C131" s="16">
        <f>SQRT(C126/C128)</f>
        <v>1.2428044714409032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510819.48179016187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8527.7163460614865</v>
      </c>
    </row>
    <row r="139" spans="1:4" x14ac:dyDescent="0.25">
      <c r="A139" s="3">
        <v>2</v>
      </c>
      <c r="B139" s="18">
        <f>D138/1000</f>
        <v>8.5277163460614869</v>
      </c>
      <c r="C139" s="16">
        <f t="shared" si="3"/>
        <v>0.51755677486256801</v>
      </c>
      <c r="D139" s="11">
        <f t="shared" si="4"/>
        <v>8179.9570885913554</v>
      </c>
    </row>
    <row r="140" spans="1:4" x14ac:dyDescent="0.25">
      <c r="A140" s="3">
        <v>3</v>
      </c>
      <c r="B140" s="18">
        <f>D139/1000</f>
        <v>8.1799570885913546</v>
      </c>
      <c r="C140" s="16">
        <f t="shared" si="3"/>
        <v>0.53723075215459826</v>
      </c>
      <c r="D140" s="11">
        <f t="shared" si="4"/>
        <v>8205.3567842321936</v>
      </c>
    </row>
    <row r="141" spans="1:4" x14ac:dyDescent="0.25">
      <c r="A141" s="3">
        <v>4</v>
      </c>
      <c r="B141" s="18">
        <f>D140/1000</f>
        <v>8.2053567842321939</v>
      </c>
      <c r="C141" s="16">
        <f t="shared" si="3"/>
        <v>0.53579380108995189</v>
      </c>
      <c r="D141" s="11">
        <f t="shared" si="4"/>
        <v>8203.5596109589187</v>
      </c>
    </row>
    <row r="142" spans="1:4" x14ac:dyDescent="0.25">
      <c r="A142" s="3">
        <v>5</v>
      </c>
      <c r="B142" s="18">
        <f>D141/1000</f>
        <v>8.2035596109589193</v>
      </c>
      <c r="C142" s="16">
        <f t="shared" si="3"/>
        <v>0.53589547357000444</v>
      </c>
      <c r="D142" s="11">
        <f t="shared" si="4"/>
        <v>8203.6870621156886</v>
      </c>
    </row>
    <row r="143" spans="1:4" x14ac:dyDescent="0.25">
      <c r="A143" s="3">
        <v>6</v>
      </c>
      <c r="B143" s="18">
        <f>D142/1000</f>
        <v>8.203687062115689</v>
      </c>
      <c r="C143" s="16">
        <f t="shared" si="3"/>
        <v>0.53588826320504568</v>
      </c>
      <c r="D143" s="11">
        <f t="shared" si="4"/>
        <v>8203.6780250524807</v>
      </c>
    </row>
    <row r="144" spans="1:4" ht="18.75" customHeight="1" x14ac:dyDescent="0.25">
      <c r="A144" s="3">
        <v>7</v>
      </c>
      <c r="B144" s="18">
        <f t="shared" ref="B144:B147" si="5">D143/1000</f>
        <v>8.203678025052481</v>
      </c>
      <c r="C144" s="16">
        <f t="shared" si="3"/>
        <v>0.53588877446383332</v>
      </c>
      <c r="D144" s="11">
        <f t="shared" si="4"/>
        <v>8203.6786658426536</v>
      </c>
    </row>
    <row r="145" spans="1:5" x14ac:dyDescent="0.25">
      <c r="A145" s="3">
        <v>8</v>
      </c>
      <c r="B145" s="18">
        <f t="shared" si="5"/>
        <v>8.2036786658426539</v>
      </c>
      <c r="C145" s="16">
        <f t="shared" si="3"/>
        <v>0.53588873821205563</v>
      </c>
      <c r="D145" s="11">
        <f t="shared" si="4"/>
        <v>8203.6786204062446</v>
      </c>
    </row>
    <row r="146" spans="1:5" x14ac:dyDescent="0.25">
      <c r="A146" s="3">
        <v>9</v>
      </c>
      <c r="B146" s="18">
        <f t="shared" si="5"/>
        <v>8.2036786204062437</v>
      </c>
      <c r="C146" s="16">
        <f t="shared" si="3"/>
        <v>0.53588874078255477</v>
      </c>
      <c r="D146" s="11">
        <f t="shared" si="4"/>
        <v>8203.6786236279968</v>
      </c>
    </row>
    <row r="147" spans="1:5" x14ac:dyDescent="0.25">
      <c r="A147" s="3">
        <v>10</v>
      </c>
      <c r="B147" s="18">
        <f t="shared" si="5"/>
        <v>8.2036786236279973</v>
      </c>
      <c r="C147" s="16">
        <f t="shared" si="3"/>
        <v>0.53588874060028879</v>
      </c>
      <c r="D147" s="11">
        <f t="shared" si="4"/>
        <v>8203.6786233995517</v>
      </c>
    </row>
    <row r="149" spans="1:5" x14ac:dyDescent="0.25">
      <c r="A149" s="30" t="s">
        <v>152</v>
      </c>
      <c r="B149" s="30"/>
      <c r="C149" s="31"/>
      <c r="D149" s="30">
        <f>D147/1000</f>
        <v>8.2036786233995524</v>
      </c>
      <c r="E149" s="30" t="s">
        <v>8</v>
      </c>
    </row>
    <row r="152" spans="1:5" ht="30" customHeight="1" x14ac:dyDescent="0.25">
      <c r="A152" s="63" t="s">
        <v>46</v>
      </c>
      <c r="B152" s="63">
        <f>MIN(D149,D123)</f>
        <v>6.833243877570319</v>
      </c>
      <c r="C152" s="28">
        <f>IF(F123=TRUE,D149,MIN(D149,D123))</f>
        <v>6.833243877570319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31F3-65CB-486B-9CF9-C9B2DA819F47}">
  <dimension ref="A1:H153"/>
  <sheetViews>
    <sheetView zoomScale="85" zoomScaleNormal="85" workbookViewId="0">
      <selection activeCell="C14" sqref="C14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Screen'!F15</f>
        <v>130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89.25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36.200000000000003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0.75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300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128.3683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163708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Screen'!G15</f>
        <v>580.90258800000004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Screen'!H15</f>
        <v>506.04751599999997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646.9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0.13728000000000001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0.40137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3668.5266106442577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543.47505200000001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83.041453270000005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11.399930704905602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952519.18848457152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2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67176.301240000001</v>
      </c>
      <c r="D39" s="3" t="s">
        <v>6</v>
      </c>
    </row>
    <row r="40" spans="1:4" ht="17.25" x14ac:dyDescent="0.3">
      <c r="A40" s="62"/>
      <c r="B40" s="2" t="s">
        <v>64</v>
      </c>
      <c r="C40" s="9">
        <f>IF(IF(C14&lt;=200,C17*(1.0167-0.000835*C14),C17*(1.1201-0.00135*C14))&gt;200000,200000,IF(C14&lt;=200,C17*(1.0167-0.000835*C14),C17*(1.1201-0.00135*C14)))</f>
        <v>87387.17068000001</v>
      </c>
      <c r="D40" s="3" t="s">
        <v>6</v>
      </c>
    </row>
    <row r="41" spans="1:4" ht="17.25" x14ac:dyDescent="0.3">
      <c r="A41" s="62"/>
      <c r="B41" s="2" t="s">
        <v>65</v>
      </c>
      <c r="C41" s="9">
        <f>IF(IF(C30&lt;=200,C17*(1.0167-0.000835*C30),C17*(1.1201-0.00135*C30))&gt;200000,200000,IF(C30&lt;=200,C17*(1.0167-0.000835*C30),C17*(1.1201-0.00135*C30)))</f>
        <v>77281.735960000005</v>
      </c>
      <c r="D41" s="3" t="s">
        <v>6</v>
      </c>
    </row>
    <row r="42" spans="1:4" ht="17.25" x14ac:dyDescent="0.3">
      <c r="A42" s="62"/>
      <c r="B42" s="2" t="s">
        <v>66</v>
      </c>
      <c r="C42" s="9">
        <f>IF(((C39*(C6+C7)*C8+C40*(C6+C7)*C8+C41*C5*C8)/C11)&gt;200000,200000,(C39*(C6+C7)*C8+C40*(C6+C7)*C8+C41*C5*C8)/C11)</f>
        <v>79784.199511086466</v>
      </c>
      <c r="D42" s="3" t="s">
        <v>6</v>
      </c>
    </row>
    <row r="44" spans="1:4" ht="17.25" x14ac:dyDescent="0.3">
      <c r="A44" s="62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156.9095291710122</v>
      </c>
      <c r="D44" s="3" t="s">
        <v>6</v>
      </c>
    </row>
    <row r="45" spans="1:4" ht="17.25" x14ac:dyDescent="0.3">
      <c r="A45" s="62"/>
      <c r="B45" s="2" t="s">
        <v>68</v>
      </c>
      <c r="C45" s="10">
        <f>IF(IF(C14&lt;=200,C18*(1.01-0.0005*C14),C18*25*(1.16-C14^0.022))&gt;300,300,IF(C14&lt;=200,C18*(1.01-0.0005*C14),C18*25*(1.16-C14^0.022)))</f>
        <v>213.28378930191334</v>
      </c>
      <c r="D45" s="3" t="s">
        <v>6</v>
      </c>
    </row>
    <row r="46" spans="1:4" ht="17.25" x14ac:dyDescent="0.3">
      <c r="A46" s="62"/>
      <c r="B46" s="2" t="s">
        <v>69</v>
      </c>
      <c r="C46" s="10">
        <f>IF(IF(C30&lt;=200,C18*(1.01-0.0005*C30),C18*25*(1.16-C30^0.022))&gt;300,300,IF(C30&lt;=200,C18*(1.01-0.0005*C30),C18*25*(1.16-C30^0.022)))</f>
        <v>184.14666941085855</v>
      </c>
      <c r="D46" s="3" t="s">
        <v>6</v>
      </c>
    </row>
    <row r="47" spans="1:4" ht="17.25" x14ac:dyDescent="0.3">
      <c r="A47" s="62"/>
      <c r="B47" s="2" t="s">
        <v>70</v>
      </c>
      <c r="C47" s="7">
        <f>IF((C44*(C6+C7)*C8+C45*(C6+C7)*C8+C46*C5*C8)/C11&gt;300,300,(C44*(C6+C7)*C8+C45*(C6+C7)*C8+C46*C5*C8)/C11)</f>
        <v>190.59491183852126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1.3632369139657893E-5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12.862840001844587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1426462.5160887283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42161695.065102316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211751130.29360855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230847186.71170408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47.470979293259028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2.8459792932590275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10.016860708585559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2.8459792932590275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726083624.3555944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4110090051.4757161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715114946.53437912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4141385772.5621724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3475751497.7108049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13168425892.638668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24.466344821360849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14.440794905045072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4.4050321734940576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1.3016343352322119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12.039209153630141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1.6531963483155521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7.244719053874257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7.244719053874257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128.3683</v>
      </c>
      <c r="D94" s="3" t="s">
        <v>49</v>
      </c>
    </row>
    <row r="95" spans="1:4" ht="17.25" x14ac:dyDescent="0.3">
      <c r="B95" s="2" t="s">
        <v>105</v>
      </c>
      <c r="C95" s="16">
        <f>C60</f>
        <v>47.470979293259028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3476.8726278362283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640254.51438182092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368061.68210649071</v>
      </c>
      <c r="D102" s="3" t="s">
        <v>38</v>
      </c>
    </row>
    <row r="105" spans="1:4" ht="17.25" x14ac:dyDescent="0.3">
      <c r="B105" s="2" t="s">
        <v>91</v>
      </c>
      <c r="C105" s="16">
        <f>SQRT(C100/C102)</f>
        <v>1.3189126125557085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451400.33873693564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6241.331812650521</v>
      </c>
    </row>
    <row r="113" spans="1:6" x14ac:dyDescent="0.25">
      <c r="A113" s="3">
        <v>2</v>
      </c>
      <c r="B113" s="18">
        <f>D112/1000</f>
        <v>6.2413318126505208</v>
      </c>
      <c r="C113" s="16">
        <f>(1-B113/$C$80)</f>
        <v>0.56779859739784588</v>
      </c>
      <c r="D113" s="11">
        <f t="shared" si="1"/>
        <v>5646.0983709067132</v>
      </c>
    </row>
    <row r="114" spans="1:6" x14ac:dyDescent="0.25">
      <c r="A114" s="3">
        <v>3</v>
      </c>
      <c r="B114" s="18">
        <f>D113/1000</f>
        <v>5.6460983709067127</v>
      </c>
      <c r="C114" s="16">
        <f t="shared" si="0"/>
        <v>0.6090174808220441</v>
      </c>
      <c r="D114" s="11">
        <f t="shared" si="1"/>
        <v>5731.6983522339515</v>
      </c>
    </row>
    <row r="115" spans="1:6" x14ac:dyDescent="0.25">
      <c r="A115" s="3">
        <v>4</v>
      </c>
      <c r="B115" s="18">
        <f t="shared" ref="B115:B121" si="2">D114/1000</f>
        <v>5.7316983522339511</v>
      </c>
      <c r="C115" s="16">
        <f t="shared" si="0"/>
        <v>0.60308983058602195</v>
      </c>
      <c r="D115" s="11">
        <f t="shared" si="1"/>
        <v>5719.9570395658993</v>
      </c>
    </row>
    <row r="116" spans="1:6" x14ac:dyDescent="0.25">
      <c r="A116" s="3">
        <v>5</v>
      </c>
      <c r="B116" s="18">
        <f t="shared" si="2"/>
        <v>5.719957039565899</v>
      </c>
      <c r="C116" s="16">
        <f t="shared" si="0"/>
        <v>0.60390289612329018</v>
      </c>
      <c r="D116" s="11">
        <f t="shared" si="1"/>
        <v>5721.5783075361251</v>
      </c>
    </row>
    <row r="117" spans="1:6" x14ac:dyDescent="0.25">
      <c r="A117" s="3">
        <v>6</v>
      </c>
      <c r="B117" s="18">
        <f t="shared" si="2"/>
        <v>5.7215783075361255</v>
      </c>
      <c r="C117" s="16">
        <f t="shared" si="0"/>
        <v>0.60379062612839818</v>
      </c>
      <c r="D117" s="11">
        <f t="shared" si="1"/>
        <v>5721.3546442541801</v>
      </c>
    </row>
    <row r="118" spans="1:6" x14ac:dyDescent="0.25">
      <c r="A118" s="3">
        <v>7</v>
      </c>
      <c r="B118" s="18">
        <f t="shared" si="2"/>
        <v>5.7213546442541805</v>
      </c>
      <c r="C118" s="16">
        <f t="shared" si="0"/>
        <v>0.60380611442273491</v>
      </c>
      <c r="D118" s="11">
        <f t="shared" si="1"/>
        <v>5721.3855038017427</v>
      </c>
    </row>
    <row r="119" spans="1:6" x14ac:dyDescent="0.25">
      <c r="A119" s="3">
        <v>8</v>
      </c>
      <c r="B119" s="18">
        <f t="shared" si="2"/>
        <v>5.7213855038017432</v>
      </c>
      <c r="C119" s="16">
        <f t="shared" si="0"/>
        <v>0.60380397745259118</v>
      </c>
      <c r="D119" s="11">
        <f t="shared" si="1"/>
        <v>5721.3812460843483</v>
      </c>
    </row>
    <row r="120" spans="1:6" x14ac:dyDescent="0.25">
      <c r="A120" s="3">
        <v>9</v>
      </c>
      <c r="B120" s="18">
        <f t="shared" si="2"/>
        <v>5.7213812460843485</v>
      </c>
      <c r="C120" s="16">
        <f t="shared" si="0"/>
        <v>0.60380427229213596</v>
      </c>
      <c r="D120" s="11">
        <f t="shared" si="1"/>
        <v>5721.3818335265669</v>
      </c>
    </row>
    <row r="121" spans="1:6" x14ac:dyDescent="0.25">
      <c r="A121" s="3">
        <v>10</v>
      </c>
      <c r="B121" s="18">
        <f t="shared" si="2"/>
        <v>5.7213818335265669</v>
      </c>
      <c r="C121" s="16">
        <f t="shared" si="0"/>
        <v>0.60380423161278118</v>
      </c>
      <c r="D121" s="11">
        <f t="shared" si="1"/>
        <v>5721.3817524765072</v>
      </c>
    </row>
    <row r="123" spans="1:6" x14ac:dyDescent="0.25">
      <c r="A123" s="30" t="s">
        <v>153</v>
      </c>
      <c r="B123" s="30"/>
      <c r="C123" s="31"/>
      <c r="D123" s="30">
        <f>D121/1000</f>
        <v>5.7213817524765069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545554.44702136249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368061.68210649071</v>
      </c>
      <c r="D128" s="3" t="s">
        <v>38</v>
      </c>
    </row>
    <row r="131" spans="1:4" ht="17.25" x14ac:dyDescent="0.3">
      <c r="B131" s="2" t="s">
        <v>91</v>
      </c>
      <c r="C131" s="16">
        <f>SQRT(C126/C128)</f>
        <v>1.217471341009239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406361.02210609871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6894.8802586943202</v>
      </c>
    </row>
    <row r="139" spans="1:4" x14ac:dyDescent="0.25">
      <c r="A139" s="3">
        <v>2</v>
      </c>
      <c r="B139" s="18">
        <f>D138/1000</f>
        <v>6.8948802586943199</v>
      </c>
      <c r="C139" s="16">
        <f t="shared" si="3"/>
        <v>0.52254150107169606</v>
      </c>
      <c r="D139" s="11">
        <f t="shared" si="4"/>
        <v>6603.515859803555</v>
      </c>
    </row>
    <row r="140" spans="1:4" x14ac:dyDescent="0.25">
      <c r="A140" s="3">
        <v>3</v>
      </c>
      <c r="B140" s="18">
        <f>D139/1000</f>
        <v>6.6035158598035553</v>
      </c>
      <c r="C140" s="16">
        <f t="shared" si="3"/>
        <v>0.54271798033108731</v>
      </c>
      <c r="D140" s="11">
        <f t="shared" si="4"/>
        <v>6625.3156280499588</v>
      </c>
    </row>
    <row r="141" spans="1:4" x14ac:dyDescent="0.25">
      <c r="A141" s="3">
        <v>4</v>
      </c>
      <c r="B141" s="18">
        <f>D140/1000</f>
        <v>6.6253156280499592</v>
      </c>
      <c r="C141" s="16">
        <f t="shared" si="3"/>
        <v>0.54120838419114148</v>
      </c>
      <c r="D141" s="11">
        <f t="shared" si="4"/>
        <v>6623.7360127529482</v>
      </c>
    </row>
    <row r="142" spans="1:4" x14ac:dyDescent="0.25">
      <c r="A142" s="3">
        <v>5</v>
      </c>
      <c r="B142" s="18">
        <f>D141/1000</f>
        <v>6.6237360127529481</v>
      </c>
      <c r="C142" s="16">
        <f t="shared" si="3"/>
        <v>0.54131776981065882</v>
      </c>
      <c r="D142" s="11">
        <f t="shared" si="4"/>
        <v>6623.8507426690931</v>
      </c>
    </row>
    <row r="143" spans="1:4" x14ac:dyDescent="0.25">
      <c r="A143" s="3">
        <v>6</v>
      </c>
      <c r="B143" s="18">
        <f>D142/1000</f>
        <v>6.6238507426690933</v>
      </c>
      <c r="C143" s="16">
        <f t="shared" si="3"/>
        <v>0.54130982496296176</v>
      </c>
      <c r="D143" s="11">
        <f t="shared" si="4"/>
        <v>6623.8424110845845</v>
      </c>
    </row>
    <row r="144" spans="1:4" ht="18.75" customHeight="1" x14ac:dyDescent="0.25">
      <c r="A144" s="3">
        <v>7</v>
      </c>
      <c r="B144" s="18">
        <f t="shared" ref="B144:B147" si="5">D143/1000</f>
        <v>6.6238424110845848</v>
      </c>
      <c r="C144" s="16">
        <f t="shared" si="3"/>
        <v>0.54131040191073809</v>
      </c>
      <c r="D144" s="11">
        <f t="shared" si="4"/>
        <v>6623.8430161243732</v>
      </c>
    </row>
    <row r="145" spans="1:5" x14ac:dyDescent="0.25">
      <c r="A145" s="3">
        <v>8</v>
      </c>
      <c r="B145" s="18">
        <f t="shared" si="5"/>
        <v>6.6238430161243729</v>
      </c>
      <c r="C145" s="16">
        <f t="shared" si="3"/>
        <v>0.54131036001278221</v>
      </c>
      <c r="D145" s="11">
        <f t="shared" si="4"/>
        <v>6623.8429721864159</v>
      </c>
    </row>
    <row r="146" spans="1:5" x14ac:dyDescent="0.25">
      <c r="A146" s="3">
        <v>9</v>
      </c>
      <c r="B146" s="18">
        <f t="shared" si="5"/>
        <v>6.6238429721864156</v>
      </c>
      <c r="C146" s="16">
        <f t="shared" si="3"/>
        <v>0.54131036305540947</v>
      </c>
      <c r="D146" s="11">
        <f t="shared" si="4"/>
        <v>6623.8429753771879</v>
      </c>
    </row>
    <row r="147" spans="1:5" x14ac:dyDescent="0.25">
      <c r="A147" s="3">
        <v>10</v>
      </c>
      <c r="B147" s="18">
        <f t="shared" si="5"/>
        <v>6.6238429753771877</v>
      </c>
      <c r="C147" s="16">
        <f t="shared" si="3"/>
        <v>0.54131036283445411</v>
      </c>
      <c r="D147" s="11">
        <f t="shared" si="4"/>
        <v>6623.8429751454742</v>
      </c>
    </row>
    <row r="149" spans="1:5" x14ac:dyDescent="0.25">
      <c r="A149" s="30" t="s">
        <v>152</v>
      </c>
      <c r="B149" s="30"/>
      <c r="C149" s="31"/>
      <c r="D149" s="30">
        <f>D147/1000</f>
        <v>6.6238429751454744</v>
      </c>
      <c r="E149" s="30" t="s">
        <v>8</v>
      </c>
    </row>
    <row r="152" spans="1:5" ht="30" customHeight="1" x14ac:dyDescent="0.25">
      <c r="A152" s="63" t="s">
        <v>46</v>
      </c>
      <c r="B152" s="63">
        <f>MIN(D149,D123)</f>
        <v>5.7213817524765069</v>
      </c>
      <c r="C152" s="28">
        <f>IF(F123=TRUE,D149,MIN(D149,D123))</f>
        <v>5.7213817524765069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EEFB4-A96E-49FB-93D1-6E3B7432C554}">
  <dimension ref="A1:H153"/>
  <sheetViews>
    <sheetView topLeftCell="A133" zoomScale="85" zoomScaleNormal="85" workbookViewId="0">
      <selection activeCell="C14" sqref="C14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Screen'!F16</f>
        <v>132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89.25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36.200000000000003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0.75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300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128.3683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163708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Screen'!G16</f>
        <v>593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Screen'!H16</f>
        <v>513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646.9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0.13728000000000001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0.40137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3668.5266106442577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553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83.041453270000005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11.399930704905602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952519.18848457152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2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63910</v>
      </c>
      <c r="D39" s="3" t="s">
        <v>6</v>
      </c>
    </row>
    <row r="40" spans="1:4" ht="17.25" x14ac:dyDescent="0.3">
      <c r="A40" s="62"/>
      <c r="B40" s="2" t="s">
        <v>64</v>
      </c>
      <c r="C40" s="9">
        <f>IF(IF(C14&lt;=200,C17*(1.0167-0.000835*C14),C17*(1.1201-0.00135*C14))&gt;200000,200000,IF(C14&lt;=200,C17*(1.0167-0.000835*C14),C17*(1.1201-0.00135*C14)))</f>
        <v>85510.000000000015</v>
      </c>
      <c r="D40" s="3" t="s">
        <v>6</v>
      </c>
    </row>
    <row r="41" spans="1:4" ht="17.25" x14ac:dyDescent="0.3">
      <c r="A41" s="62"/>
      <c r="B41" s="2" t="s">
        <v>65</v>
      </c>
      <c r="C41" s="9">
        <f>IF(IF(C30&lt;=200,C17*(1.0167-0.000835*C30),C17*(1.1201-0.00135*C30))&gt;200000,200000,IF(C30&lt;=200,C17*(1.0167-0.000835*C30),C17*(1.1201-0.00135*C30)))</f>
        <v>74710.000000000015</v>
      </c>
      <c r="D41" s="3" t="s">
        <v>6</v>
      </c>
    </row>
    <row r="42" spans="1:4" ht="17.25" x14ac:dyDescent="0.3">
      <c r="A42" s="62"/>
      <c r="B42" s="2" t="s">
        <v>66</v>
      </c>
      <c r="C42" s="9">
        <f>IF(((C39*(C6+C7)*C8+C40*(C6+C7)*C8+C41*C5*C8)/C11)&gt;200000,200000,(C39*(C6+C7)*C8+C40*(C6+C7)*C8+C41*C5*C8)/C11)</f>
        <v>77129.188047204807</v>
      </c>
      <c r="D42" s="3" t="s">
        <v>6</v>
      </c>
    </row>
    <row r="44" spans="1:4" ht="17.25" x14ac:dyDescent="0.3">
      <c r="A44" s="62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148.47201793435482</v>
      </c>
      <c r="D44" s="3" t="s">
        <v>6</v>
      </c>
    </row>
    <row r="45" spans="1:4" ht="17.25" x14ac:dyDescent="0.3">
      <c r="A45" s="62"/>
      <c r="B45" s="2" t="s">
        <v>68</v>
      </c>
      <c r="C45" s="10">
        <f>IF(IF(C14&lt;=200,C18*(1.01-0.0005*C14),C18*25*(1.16-C14^0.022))&gt;300,300,IF(C14&lt;=200,C18*(1.01-0.0005*C14),C18*25*(1.16-C14^0.022)))</f>
        <v>207.71527249107393</v>
      </c>
      <c r="D45" s="3" t="s">
        <v>6</v>
      </c>
    </row>
    <row r="46" spans="1:4" ht="17.25" x14ac:dyDescent="0.3">
      <c r="A46" s="62"/>
      <c r="B46" s="2" t="s">
        <v>69</v>
      </c>
      <c r="C46" s="10">
        <f>IF(IF(C30&lt;=200,C18*(1.01-0.0005*C30),C18*25*(1.16-C30^0.022))&gt;300,300,IF(C30&lt;=200,C18*(1.01-0.0005*C30),C18*25*(1.16-C30^0.022)))</f>
        <v>177.04498163962876</v>
      </c>
      <c r="D46" s="3" t="s">
        <v>6</v>
      </c>
    </row>
    <row r="47" spans="1:4" ht="17.25" x14ac:dyDescent="0.3">
      <c r="A47" s="62"/>
      <c r="B47" s="2" t="s">
        <v>70</v>
      </c>
      <c r="C47" s="7">
        <f>IF((C44*(C6+C7)*C8+C45*(C6+C7)*C8+C46*C5*C8)/C11&gt;300,300,(C44*(C6+C7)*C8+C45*(C6+C7)*C8+C46*C5*C8)/C11)</f>
        <v>183.3136795758108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1.3678716697936209E-5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13.793663897078531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1357103.8851562501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41256016.380468756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207202487.62500009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223165190.39062503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47.77128908065346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3.1462890806534602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10.647374816425071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3.1462890806534602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700280868.66198218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3959875148.3358655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688777665.79923034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3994377202.7903452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3369086797.3641839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12712397682.951607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23.531665413891556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13.940704013339705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4.2584441148174887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1.2992238343926461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11.609703839151454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1.6511445464959063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6.9924289198831451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6.9924289198831451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128.3683</v>
      </c>
      <c r="D94" s="3" t="s">
        <v>49</v>
      </c>
    </row>
    <row r="95" spans="1:4" ht="17.25" x14ac:dyDescent="0.3">
      <c r="B95" s="2" t="s">
        <v>105</v>
      </c>
      <c r="C95" s="16">
        <f>C60</f>
        <v>47.77128908065346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3450.1799764693055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610837.05058742303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355813.54285841179</v>
      </c>
      <c r="D102" s="3" t="s">
        <v>38</v>
      </c>
    </row>
    <row r="105" spans="1:4" ht="17.25" x14ac:dyDescent="0.3">
      <c r="B105" s="2" t="s">
        <v>91</v>
      </c>
      <c r="C105" s="16">
        <f>SQRT(C100/C102)</f>
        <v>1.3102417949724015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432625.60297590599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5965.7726088137242</v>
      </c>
    </row>
    <row r="113" spans="1:6" x14ac:dyDescent="0.25">
      <c r="A113" s="3">
        <v>2</v>
      </c>
      <c r="B113" s="18">
        <f>D112/1000</f>
        <v>5.9657726088137242</v>
      </c>
      <c r="C113" s="16">
        <f>(1-B113/$C$80)</f>
        <v>0.57206087991645593</v>
      </c>
      <c r="D113" s="11">
        <f t="shared" si="1"/>
        <v>5375.3738513877797</v>
      </c>
    </row>
    <row r="114" spans="1:6" x14ac:dyDescent="0.25">
      <c r="A114" s="3">
        <v>3</v>
      </c>
      <c r="B114" s="18">
        <f>D113/1000</f>
        <v>5.3753738513877796</v>
      </c>
      <c r="C114" s="16">
        <f t="shared" si="0"/>
        <v>0.61441159311293436</v>
      </c>
      <c r="D114" s="11">
        <f t="shared" si="1"/>
        <v>5462.4472166760697</v>
      </c>
    </row>
    <row r="115" spans="1:6" x14ac:dyDescent="0.25">
      <c r="A115" s="3">
        <v>4</v>
      </c>
      <c r="B115" s="18">
        <f t="shared" ref="B115:B121" si="2">D114/1000</f>
        <v>5.46244721667607</v>
      </c>
      <c r="C115" s="16">
        <f t="shared" si="0"/>
        <v>0.6081656126226398</v>
      </c>
      <c r="D115" s="11">
        <f t="shared" si="1"/>
        <v>5450.1996629718096</v>
      </c>
    </row>
    <row r="116" spans="1:6" x14ac:dyDescent="0.25">
      <c r="A116" s="3">
        <v>5</v>
      </c>
      <c r="B116" s="18">
        <f t="shared" si="2"/>
        <v>5.4501996629718095</v>
      </c>
      <c r="C116" s="16">
        <f t="shared" si="0"/>
        <v>0.60904415890642438</v>
      </c>
      <c r="D116" s="11">
        <f t="shared" si="1"/>
        <v>5451.9342150666789</v>
      </c>
    </row>
    <row r="117" spans="1:6" x14ac:dyDescent="0.25">
      <c r="A117" s="3">
        <v>6</v>
      </c>
      <c r="B117" s="18">
        <f t="shared" si="2"/>
        <v>5.4519342150666787</v>
      </c>
      <c r="C117" s="16">
        <f t="shared" si="0"/>
        <v>0.60891973534121502</v>
      </c>
      <c r="D117" s="11">
        <f t="shared" si="1"/>
        <v>5451.68879741415</v>
      </c>
    </row>
    <row r="118" spans="1:6" x14ac:dyDescent="0.25">
      <c r="A118" s="3">
        <v>7</v>
      </c>
      <c r="B118" s="18">
        <f t="shared" si="2"/>
        <v>5.4516887974141497</v>
      </c>
      <c r="C118" s="16">
        <f t="shared" si="0"/>
        <v>0.60893733973567699</v>
      </c>
      <c r="D118" s="11">
        <f t="shared" si="1"/>
        <v>5451.7235257234488</v>
      </c>
    </row>
    <row r="119" spans="1:6" x14ac:dyDescent="0.25">
      <c r="A119" s="3">
        <v>8</v>
      </c>
      <c r="B119" s="18">
        <f t="shared" si="2"/>
        <v>5.4517235257234491</v>
      </c>
      <c r="C119" s="16">
        <f t="shared" si="0"/>
        <v>0.60893484859109304</v>
      </c>
      <c r="D119" s="11">
        <f t="shared" si="1"/>
        <v>5451.7186115205932</v>
      </c>
    </row>
    <row r="120" spans="1:6" x14ac:dyDescent="0.25">
      <c r="A120" s="3">
        <v>9</v>
      </c>
      <c r="B120" s="18">
        <f t="shared" si="2"/>
        <v>5.4517186115205929</v>
      </c>
      <c r="C120" s="16">
        <f t="shared" si="0"/>
        <v>0.60893520109860277</v>
      </c>
      <c r="D120" s="11">
        <f t="shared" si="1"/>
        <v>5451.7193069030154</v>
      </c>
    </row>
    <row r="121" spans="1:6" x14ac:dyDescent="0.25">
      <c r="A121" s="3">
        <v>10</v>
      </c>
      <c r="B121" s="18">
        <f t="shared" si="2"/>
        <v>5.4517193069030156</v>
      </c>
      <c r="C121" s="16">
        <f t="shared" si="0"/>
        <v>0.60893515121716046</v>
      </c>
      <c r="D121" s="11">
        <f t="shared" si="1"/>
        <v>5451.7192085032257</v>
      </c>
    </row>
    <row r="123" spans="1:6" x14ac:dyDescent="0.25">
      <c r="A123" s="30" t="s">
        <v>153</v>
      </c>
      <c r="B123" s="30"/>
      <c r="C123" s="31"/>
      <c r="D123" s="30">
        <f>D121/1000</f>
        <v>5.451719208503226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512255.18334310263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355813.54285841179</v>
      </c>
      <c r="D128" s="3" t="s">
        <v>38</v>
      </c>
    </row>
    <row r="131" spans="1:4" ht="17.25" x14ac:dyDescent="0.3">
      <c r="B131" s="2" t="s">
        <v>91</v>
      </c>
      <c r="C131" s="16">
        <f>SQRT(C126/C128)</f>
        <v>1.1998637805088599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385365.4509656853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6614.7955759786946</v>
      </c>
    </row>
    <row r="139" spans="1:4" x14ac:dyDescent="0.25">
      <c r="A139" s="3">
        <v>2</v>
      </c>
      <c r="B139" s="18">
        <f>D138/1000</f>
        <v>6.6147955759786949</v>
      </c>
      <c r="C139" s="16">
        <f t="shared" si="3"/>
        <v>0.52550491211569583</v>
      </c>
      <c r="D139" s="11">
        <f t="shared" si="4"/>
        <v>6307.2312442953889</v>
      </c>
    </row>
    <row r="140" spans="1:4" x14ac:dyDescent="0.25">
      <c r="A140" s="3">
        <v>3</v>
      </c>
      <c r="B140" s="18">
        <f>D139/1000</f>
        <v>6.3072312442953891</v>
      </c>
      <c r="C140" s="16">
        <f t="shared" si="3"/>
        <v>0.54756723632751481</v>
      </c>
      <c r="D140" s="11">
        <f t="shared" si="4"/>
        <v>6332.2323069235372</v>
      </c>
    </row>
    <row r="141" spans="1:4" x14ac:dyDescent="0.25">
      <c r="A141" s="3">
        <v>4</v>
      </c>
      <c r="B141" s="18">
        <f>D140/1000</f>
        <v>6.3322323069235376</v>
      </c>
      <c r="C141" s="16">
        <f t="shared" si="3"/>
        <v>0.54577385038343151</v>
      </c>
      <c r="D141" s="11">
        <f t="shared" si="4"/>
        <v>6330.2683661276433</v>
      </c>
    </row>
    <row r="142" spans="1:4" x14ac:dyDescent="0.25">
      <c r="A142" s="3">
        <v>5</v>
      </c>
      <c r="B142" s="18">
        <f>D141/1000</f>
        <v>6.3302683661276431</v>
      </c>
      <c r="C142" s="16">
        <f t="shared" si="3"/>
        <v>0.54591472854812206</v>
      </c>
      <c r="D142" s="11">
        <f t="shared" si="4"/>
        <v>6330.423064895178</v>
      </c>
    </row>
    <row r="143" spans="1:4" x14ac:dyDescent="0.25">
      <c r="A143" s="3">
        <v>6</v>
      </c>
      <c r="B143" s="18">
        <f>D142/1000</f>
        <v>6.3304230648951778</v>
      </c>
      <c r="C143" s="16">
        <f t="shared" si="3"/>
        <v>0.54590363163598721</v>
      </c>
      <c r="D143" s="11">
        <f t="shared" si="4"/>
        <v>6330.41088196281</v>
      </c>
    </row>
    <row r="144" spans="1:4" ht="18.75" customHeight="1" x14ac:dyDescent="0.25">
      <c r="A144" s="3">
        <v>7</v>
      </c>
      <c r="B144" s="18">
        <f t="shared" ref="B144:B147" si="5">D143/1000</f>
        <v>6.33041088196281</v>
      </c>
      <c r="C144" s="16">
        <f t="shared" si="3"/>
        <v>0.54590450554682812</v>
      </c>
      <c r="D144" s="11">
        <f t="shared" si="4"/>
        <v>6330.4118414168497</v>
      </c>
    </row>
    <row r="145" spans="1:5" x14ac:dyDescent="0.25">
      <c r="A145" s="3">
        <v>8</v>
      </c>
      <c r="B145" s="18">
        <f t="shared" si="5"/>
        <v>6.3304118414168498</v>
      </c>
      <c r="C145" s="16">
        <f t="shared" si="3"/>
        <v>0.54590443672289801</v>
      </c>
      <c r="D145" s="11">
        <f t="shared" si="4"/>
        <v>6330.4117658561554</v>
      </c>
    </row>
    <row r="146" spans="1:5" x14ac:dyDescent="0.25">
      <c r="A146" s="3">
        <v>9</v>
      </c>
      <c r="B146" s="18">
        <f t="shared" si="5"/>
        <v>6.3304117658561552</v>
      </c>
      <c r="C146" s="16">
        <f t="shared" si="3"/>
        <v>0.54590444214304712</v>
      </c>
      <c r="D146" s="11">
        <f t="shared" si="4"/>
        <v>6330.4117718068519</v>
      </c>
    </row>
    <row r="147" spans="1:5" x14ac:dyDescent="0.25">
      <c r="A147" s="3">
        <v>10</v>
      </c>
      <c r="B147" s="18">
        <f t="shared" si="5"/>
        <v>6.330411771806852</v>
      </c>
      <c r="C147" s="16">
        <f t="shared" si="3"/>
        <v>0.54590444171618935</v>
      </c>
      <c r="D147" s="11">
        <f t="shared" si="4"/>
        <v>6330.411771338212</v>
      </c>
    </row>
    <row r="149" spans="1:5" x14ac:dyDescent="0.25">
      <c r="A149" s="30" t="s">
        <v>152</v>
      </c>
      <c r="B149" s="30"/>
      <c r="C149" s="31"/>
      <c r="D149" s="30">
        <f>D147/1000</f>
        <v>6.3304117713382118</v>
      </c>
      <c r="E149" s="30" t="s">
        <v>8</v>
      </c>
    </row>
    <row r="152" spans="1:5" ht="30" customHeight="1" x14ac:dyDescent="0.25">
      <c r="A152" s="63" t="s">
        <v>46</v>
      </c>
      <c r="B152" s="63">
        <f>MIN(D149,D123)</f>
        <v>5.451719208503226</v>
      </c>
      <c r="C152" s="28">
        <f>IF(F123=TRUE,D149,MIN(D149,D123))</f>
        <v>5.451719208503226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A14" sqref="A14:A19"/>
    </sheetView>
  </sheetViews>
  <sheetFormatPr defaultRowHeight="15" x14ac:dyDescent="0.25"/>
  <sheetData>
    <row r="1" spans="1:7" x14ac:dyDescent="0.25">
      <c r="A1">
        <v>84.680167999999995</v>
      </c>
      <c r="B1">
        <v>62.169303999999997</v>
      </c>
      <c r="C1">
        <v>62.937088000000003</v>
      </c>
      <c r="F1">
        <v>89.002960000000002</v>
      </c>
      <c r="G1">
        <v>73.551322999999996</v>
      </c>
    </row>
    <row r="2" spans="1:7" x14ac:dyDescent="0.25">
      <c r="A2">
        <v>147.55038500000001</v>
      </c>
      <c r="B2">
        <v>86.375174999999999</v>
      </c>
      <c r="C2">
        <v>86.789742000000004</v>
      </c>
      <c r="F2">
        <v>139.55946399999999</v>
      </c>
      <c r="G2">
        <v>101.054169</v>
      </c>
    </row>
    <row r="3" spans="1:7" x14ac:dyDescent="0.25">
      <c r="A3">
        <v>347.71676600000001</v>
      </c>
      <c r="B3">
        <v>238.18895000000001</v>
      </c>
      <c r="C3">
        <v>244.65303</v>
      </c>
      <c r="F3">
        <v>429.44787600000001</v>
      </c>
      <c r="G3">
        <v>300.14373799999998</v>
      </c>
    </row>
    <row r="4" spans="1:7" x14ac:dyDescent="0.25">
      <c r="A4">
        <v>362.96585099999999</v>
      </c>
      <c r="B4">
        <v>285.04296900000003</v>
      </c>
      <c r="C4">
        <v>281.92465199999998</v>
      </c>
      <c r="F4">
        <v>447.84811400000001</v>
      </c>
      <c r="G4">
        <v>340.54977400000001</v>
      </c>
    </row>
    <row r="5" spans="1:7" x14ac:dyDescent="0.25">
      <c r="A5">
        <v>415.96163899999999</v>
      </c>
      <c r="B5">
        <v>379.559753</v>
      </c>
      <c r="C5">
        <v>350.82693499999999</v>
      </c>
      <c r="F5">
        <v>523.47735599999999</v>
      </c>
      <c r="G5">
        <v>435.56613199999998</v>
      </c>
    </row>
    <row r="6" spans="1:7" x14ac:dyDescent="0.25">
      <c r="A6">
        <v>458.76711999999998</v>
      </c>
      <c r="B6">
        <v>437.77081299999998</v>
      </c>
      <c r="C6">
        <v>410.98623700000002</v>
      </c>
      <c r="F6">
        <v>592.89984100000004</v>
      </c>
      <c r="G6">
        <v>513.96002199999998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G53"/>
  <sheetViews>
    <sheetView topLeftCell="A22" zoomScale="85" zoomScaleNormal="85" workbookViewId="0">
      <selection activeCell="H47" sqref="H47"/>
    </sheetView>
  </sheetViews>
  <sheetFormatPr defaultRowHeight="15.75" x14ac:dyDescent="0.25"/>
  <cols>
    <col min="1" max="1" width="62.140625" style="3" customWidth="1"/>
    <col min="2" max="2" width="13.140625" style="2" customWidth="1"/>
    <col min="3" max="3" width="15" style="3" bestFit="1" customWidth="1"/>
    <col min="4" max="4" width="11.140625" style="3" customWidth="1"/>
    <col min="5" max="5" width="9.140625" style="3"/>
    <col min="6" max="6" width="18.140625" style="3" customWidth="1"/>
    <col min="7" max="7" width="12.28515625" style="3" customWidth="1"/>
    <col min="8" max="16384" width="9.140625" style="3"/>
  </cols>
  <sheetData>
    <row r="1" spans="1:7" x14ac:dyDescent="0.25">
      <c r="A1" s="1" t="s">
        <v>131</v>
      </c>
    </row>
    <row r="2" spans="1:7" x14ac:dyDescent="0.25">
      <c r="A2" s="2" t="s">
        <v>0</v>
      </c>
    </row>
    <row r="4" spans="1:7" ht="21" customHeight="1" x14ac:dyDescent="0.25">
      <c r="A4" s="21" t="s">
        <v>24</v>
      </c>
      <c r="B4" s="4"/>
      <c r="C4" s="5"/>
      <c r="D4" s="5"/>
      <c r="F4" s="59" t="s">
        <v>151</v>
      </c>
      <c r="G4" s="59"/>
    </row>
    <row r="5" spans="1:7" ht="20.25" customHeight="1" x14ac:dyDescent="0.25">
      <c r="A5" s="5" t="s">
        <v>167</v>
      </c>
      <c r="B5" s="4" t="s">
        <v>1</v>
      </c>
      <c r="C5" s="6">
        <f xml:space="preserve"> 'Input-Output Screen'!C5</f>
        <v>89.25</v>
      </c>
      <c r="D5" s="5" t="s">
        <v>2</v>
      </c>
      <c r="F5" s="59"/>
      <c r="G5" s="59"/>
    </row>
    <row r="6" spans="1:7" ht="20.25" customHeight="1" x14ac:dyDescent="0.25">
      <c r="A6" s="5" t="s">
        <v>168</v>
      </c>
      <c r="B6" s="4" t="s">
        <v>3</v>
      </c>
      <c r="C6" s="6">
        <f>'Input-Output Screen'!C6</f>
        <v>36.200000000000003</v>
      </c>
      <c r="D6" s="5" t="s">
        <v>2</v>
      </c>
      <c r="F6" s="59"/>
      <c r="G6" s="59"/>
    </row>
    <row r="7" spans="1:7" ht="20.25" customHeight="1" x14ac:dyDescent="0.25">
      <c r="A7" s="5" t="s">
        <v>169</v>
      </c>
      <c r="B7" s="4" t="s">
        <v>4</v>
      </c>
      <c r="C7" s="6">
        <f>'Input-Output Screen'!C7</f>
        <v>6.625</v>
      </c>
      <c r="D7" s="5" t="s">
        <v>2</v>
      </c>
      <c r="F7" s="59"/>
      <c r="G7" s="59"/>
    </row>
    <row r="8" spans="1:7" ht="20.25" customHeight="1" x14ac:dyDescent="0.25">
      <c r="A8" s="5" t="s">
        <v>27</v>
      </c>
      <c r="B8" s="4" t="s">
        <v>5</v>
      </c>
      <c r="C8" s="6">
        <f>'Input-Output Screen'!C8</f>
        <v>0.75</v>
      </c>
      <c r="D8" s="5" t="s">
        <v>2</v>
      </c>
      <c r="F8" s="60">
        <f>MIN($C$38,$C$43,$C$48)/1000</f>
        <v>18.877436723900434</v>
      </c>
      <c r="G8" s="61" t="s">
        <v>8</v>
      </c>
    </row>
    <row r="9" spans="1:7" ht="20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60"/>
      <c r="G9" s="61"/>
    </row>
    <row r="10" spans="1:7" ht="17.25" x14ac:dyDescent="0.3">
      <c r="A10" s="5" t="s">
        <v>107</v>
      </c>
      <c r="B10" s="4" t="s">
        <v>108</v>
      </c>
      <c r="C10" s="6">
        <f>'Input-Output Screen'!C10</f>
        <v>300</v>
      </c>
      <c r="D10" s="5" t="s">
        <v>2</v>
      </c>
    </row>
    <row r="11" spans="1:7" ht="19.5" x14ac:dyDescent="0.3">
      <c r="A11" s="5" t="s">
        <v>29</v>
      </c>
      <c r="B11" s="4" t="s">
        <v>48</v>
      </c>
      <c r="C11" s="6">
        <f>'Input-Output Screen'!C11</f>
        <v>128.3683</v>
      </c>
      <c r="D11" s="5" t="s">
        <v>49</v>
      </c>
    </row>
    <row r="12" spans="1:7" ht="19.5" x14ac:dyDescent="0.3">
      <c r="A12" s="5" t="s">
        <v>30</v>
      </c>
      <c r="B12" s="4" t="s">
        <v>50</v>
      </c>
      <c r="C12" s="22">
        <f>'Input-Output Screen'!C12</f>
        <v>163708</v>
      </c>
      <c r="D12" s="5" t="s">
        <v>51</v>
      </c>
    </row>
    <row r="13" spans="1:7" ht="19.5" x14ac:dyDescent="0.3">
      <c r="A13" s="5" t="s">
        <v>113</v>
      </c>
      <c r="B13" s="4" t="s">
        <v>112</v>
      </c>
      <c r="C13" s="22">
        <f>'Input-Output Screen'!C13</f>
        <v>21837</v>
      </c>
      <c r="D13" s="5" t="s">
        <v>51</v>
      </c>
    </row>
    <row r="14" spans="1:7" x14ac:dyDescent="0.25">
      <c r="A14" s="5"/>
      <c r="B14" s="4"/>
      <c r="C14" s="5"/>
      <c r="D14" s="5"/>
    </row>
    <row r="15" spans="1:7" ht="18.75" x14ac:dyDescent="0.25">
      <c r="A15" s="21" t="s">
        <v>137</v>
      </c>
      <c r="B15" s="4"/>
      <c r="C15" s="5"/>
      <c r="D15" s="5"/>
    </row>
    <row r="16" spans="1:7" ht="17.25" x14ac:dyDescent="0.3">
      <c r="A16" s="5" t="s">
        <v>33</v>
      </c>
      <c r="B16" s="4" t="s">
        <v>58</v>
      </c>
      <c r="C16" s="22">
        <f>'Input-Output Screen'!C16</f>
        <v>200000</v>
      </c>
      <c r="D16" s="5" t="s">
        <v>6</v>
      </c>
    </row>
    <row r="17" spans="1:4" ht="17.25" x14ac:dyDescent="0.3">
      <c r="A17" s="5" t="s">
        <v>34</v>
      </c>
      <c r="B17" s="4" t="s">
        <v>59</v>
      </c>
      <c r="C17" s="6">
        <f>'Input-Output Screen'!C17</f>
        <v>646.9</v>
      </c>
      <c r="D17" s="5" t="s">
        <v>6</v>
      </c>
    </row>
    <row r="18" spans="1:4" x14ac:dyDescent="0.25">
      <c r="A18" s="5"/>
      <c r="B18" s="4"/>
      <c r="C18" s="5"/>
      <c r="D18" s="5"/>
    </row>
    <row r="19" spans="1:4" x14ac:dyDescent="0.25">
      <c r="A19" s="21" t="s">
        <v>106</v>
      </c>
      <c r="B19" s="4"/>
      <c r="C19" s="5"/>
      <c r="D19" s="5"/>
    </row>
    <row r="20" spans="1:4" ht="18.75" x14ac:dyDescent="0.25">
      <c r="A20" s="5" t="s">
        <v>126</v>
      </c>
      <c r="B20" s="4"/>
      <c r="C20" s="24">
        <f>'Input-Output Screen'!C21</f>
        <v>0.13728000000000001</v>
      </c>
      <c r="D20" s="5"/>
    </row>
    <row r="21" spans="1:4" ht="18.75" customHeight="1" x14ac:dyDescent="0.25">
      <c r="A21" s="5" t="s">
        <v>130</v>
      </c>
      <c r="B21" s="4"/>
      <c r="C21" s="24">
        <f>'Input-Output Screen'!C22</f>
        <v>0.21584</v>
      </c>
      <c r="D21" s="5"/>
    </row>
    <row r="22" spans="1:4" x14ac:dyDescent="0.25">
      <c r="A22" s="5"/>
      <c r="B22" s="5"/>
      <c r="C22" s="5"/>
      <c r="D22" s="5"/>
    </row>
    <row r="24" spans="1:4" x14ac:dyDescent="0.25">
      <c r="A24" s="1" t="s">
        <v>111</v>
      </c>
    </row>
    <row r="25" spans="1:4" ht="17.25" x14ac:dyDescent="0.3">
      <c r="A25" s="3" t="s">
        <v>127</v>
      </c>
      <c r="B25" s="2" t="s">
        <v>132</v>
      </c>
      <c r="C25" s="7">
        <f>($C$12/$C$11)^0.5</f>
        <v>35.711332593449562</v>
      </c>
      <c r="D25" s="3" t="s">
        <v>2</v>
      </c>
    </row>
    <row r="26" spans="1:4" ht="17.25" x14ac:dyDescent="0.3">
      <c r="A26" s="3" t="s">
        <v>128</v>
      </c>
      <c r="B26" s="2" t="s">
        <v>133</v>
      </c>
      <c r="C26" s="7">
        <f>($C$13/$C$11)^0.5</f>
        <v>13.042702616276186</v>
      </c>
      <c r="D26" s="3" t="s">
        <v>2</v>
      </c>
    </row>
    <row r="28" spans="1:4" ht="17.25" x14ac:dyDescent="0.3">
      <c r="A28" s="1" t="s">
        <v>138</v>
      </c>
    </row>
    <row r="29" spans="1:4" x14ac:dyDescent="0.25">
      <c r="A29" s="3" t="s">
        <v>110</v>
      </c>
    </row>
    <row r="30" spans="1:4" ht="17.25" x14ac:dyDescent="0.3">
      <c r="A30" s="3" t="s">
        <v>114</v>
      </c>
      <c r="B30" s="2" t="s">
        <v>125</v>
      </c>
      <c r="C30" s="8">
        <f>(3.141592654)^2*$C$16/($C$9/$C$25)^2</f>
        <v>279.70442992121173</v>
      </c>
      <c r="D30" s="3" t="s">
        <v>129</v>
      </c>
    </row>
    <row r="31" spans="1:4" ht="17.25" x14ac:dyDescent="0.3">
      <c r="A31" s="3" t="s">
        <v>115</v>
      </c>
      <c r="B31" s="2" t="s">
        <v>124</v>
      </c>
      <c r="C31" s="8">
        <f>(3.141592654)^2*$C$16/($C$10/$C$26)^2</f>
        <v>3730.9756616594777</v>
      </c>
      <c r="D31" s="3" t="s">
        <v>6</v>
      </c>
    </row>
    <row r="32" spans="1:4" ht="17.25" x14ac:dyDescent="0.3">
      <c r="A32" s="3" t="s">
        <v>116</v>
      </c>
      <c r="B32" s="2" t="s">
        <v>123</v>
      </c>
      <c r="C32" s="8">
        <f>MIN(C30:C31)</f>
        <v>279.70442992121173</v>
      </c>
      <c r="D32" s="3" t="s">
        <v>6</v>
      </c>
    </row>
    <row r="33" spans="1:6" x14ac:dyDescent="0.25">
      <c r="C33" s="8"/>
    </row>
    <row r="34" spans="1:6" ht="17.25" x14ac:dyDescent="0.3">
      <c r="A34" s="3" t="s">
        <v>117</v>
      </c>
      <c r="B34" s="2" t="s">
        <v>122</v>
      </c>
      <c r="C34" s="23">
        <f>C11*C32</f>
        <v>35905.182171455082</v>
      </c>
      <c r="D34" s="3" t="s">
        <v>118</v>
      </c>
    </row>
    <row r="35" spans="1:6" ht="17.25" x14ac:dyDescent="0.3">
      <c r="A35" s="3" t="s">
        <v>119</v>
      </c>
      <c r="B35" s="2" t="s">
        <v>121</v>
      </c>
      <c r="C35" s="23">
        <f>$C$11*$C$17</f>
        <v>83041.453269999998</v>
      </c>
      <c r="D35" s="3" t="s">
        <v>118</v>
      </c>
    </row>
    <row r="37" spans="1:6" ht="17.25" x14ac:dyDescent="0.3">
      <c r="A37" s="3" t="s">
        <v>10</v>
      </c>
      <c r="B37" s="2" t="s">
        <v>91</v>
      </c>
      <c r="C37" s="16">
        <f>SQRT($C$35/$C$34)</f>
        <v>1.5207887921001688</v>
      </c>
    </row>
    <row r="38" spans="1:6" ht="17.25" x14ac:dyDescent="0.3">
      <c r="A38" s="26" t="s">
        <v>21</v>
      </c>
      <c r="B38" s="26" t="s">
        <v>141</v>
      </c>
      <c r="C38" s="27">
        <f>IF(C37&lt;=1.5,(0.658^(C37^2))*C35,(0.877/(C37^2))*C35)</f>
        <v>31488.844764366109</v>
      </c>
      <c r="D38" s="26" t="s">
        <v>118</v>
      </c>
    </row>
    <row r="39" spans="1:6" x14ac:dyDescent="0.25">
      <c r="C39" s="7"/>
    </row>
    <row r="40" spans="1:6" ht="17.25" x14ac:dyDescent="0.3">
      <c r="A40" s="1" t="s">
        <v>139</v>
      </c>
      <c r="C40" s="7"/>
    </row>
    <row r="41" spans="1:6" ht="17.25" x14ac:dyDescent="0.3">
      <c r="A41" s="3" t="s">
        <v>120</v>
      </c>
      <c r="B41" s="2" t="s">
        <v>61</v>
      </c>
      <c r="C41" s="23">
        <f>$C$20*$C$11*$C$17</f>
        <v>11399.930704905602</v>
      </c>
      <c r="D41" s="3" t="s">
        <v>118</v>
      </c>
    </row>
    <row r="42" spans="1:6" ht="17.25" x14ac:dyDescent="0.3">
      <c r="A42" s="3" t="s">
        <v>10</v>
      </c>
      <c r="B42" s="2" t="s">
        <v>93</v>
      </c>
      <c r="C42" s="16">
        <f>SQRT(C38/C41)</f>
        <v>1.6619856062408318</v>
      </c>
      <c r="F42" s="3">
        <f>SQRT(C35/C41)</f>
        <v>2.6989594817970652</v>
      </c>
    </row>
    <row r="43" spans="1:6" ht="17.25" x14ac:dyDescent="0.3">
      <c r="A43" s="26" t="s">
        <v>11</v>
      </c>
      <c r="B43" s="26" t="s">
        <v>142</v>
      </c>
      <c r="C43" s="27">
        <f>IF(C42&lt;0.776,C38,(1-0.15*(C41/C38)^0.4)*((C41/C38)^0.4)*C38)</f>
        <v>18877.436723900435</v>
      </c>
      <c r="D43" s="26" t="s">
        <v>8</v>
      </c>
      <c r="F43" s="3">
        <f>IF(C42&lt;0.776,C35,(1-0.15*(C41/C35)^0.4)*((C41/C35)^0.4)*C35)</f>
        <v>34982.745831501437</v>
      </c>
    </row>
    <row r="44" spans="1:6" x14ac:dyDescent="0.25">
      <c r="C44" s="9"/>
    </row>
    <row r="45" spans="1:6" ht="17.25" x14ac:dyDescent="0.3">
      <c r="A45" s="1" t="s">
        <v>140</v>
      </c>
      <c r="C45" s="7"/>
    </row>
    <row r="46" spans="1:6" ht="17.25" x14ac:dyDescent="0.3">
      <c r="A46" s="3" t="s">
        <v>136</v>
      </c>
      <c r="B46" s="2" t="s">
        <v>134</v>
      </c>
      <c r="C46" s="23">
        <f>$C$21*$C$11*$C$17</f>
        <v>17923.6672737968</v>
      </c>
      <c r="D46" s="3" t="s">
        <v>8</v>
      </c>
    </row>
    <row r="47" spans="1:6" ht="17.25" x14ac:dyDescent="0.3">
      <c r="A47" s="3" t="s">
        <v>10</v>
      </c>
      <c r="B47" s="2" t="s">
        <v>135</v>
      </c>
      <c r="C47" s="16">
        <f>SQRT(C35/C46)</f>
        <v>2.1524547677145458</v>
      </c>
    </row>
    <row r="48" spans="1:6" ht="17.25" x14ac:dyDescent="0.3">
      <c r="A48" s="26" t="s">
        <v>196</v>
      </c>
      <c r="B48" s="26" t="s">
        <v>143</v>
      </c>
      <c r="C48" s="27">
        <f>IF(C47&lt;0.561,C35,(1-0.25*(C46/C35)^0.6)*((C46/C35)^0.6)*C35)</f>
        <v>29798.328469765132</v>
      </c>
      <c r="D48" s="26" t="s">
        <v>8</v>
      </c>
    </row>
    <row r="49" spans="1:4" x14ac:dyDescent="0.25">
      <c r="C49" s="9"/>
    </row>
    <row r="50" spans="1:4" ht="49.5" customHeight="1" x14ac:dyDescent="0.25">
      <c r="A50" s="59" t="s">
        <v>151</v>
      </c>
      <c r="B50" s="59"/>
      <c r="C50" s="32">
        <f>MIN(C38,C43,C48)/1000</f>
        <v>18.877436723900434</v>
      </c>
      <c r="D50" s="29" t="s">
        <v>118</v>
      </c>
    </row>
    <row r="51" spans="1:4" x14ac:dyDescent="0.25">
      <c r="B51" s="3"/>
    </row>
    <row r="53" spans="1:4" ht="60.75" customHeight="1" x14ac:dyDescent="0.25">
      <c r="A53" s="59" t="s">
        <v>197</v>
      </c>
      <c r="B53" s="59"/>
      <c r="C53" s="32">
        <f>MIN(C38,C43)/1000</f>
        <v>18.877436723900434</v>
      </c>
      <c r="D53" s="29" t="s">
        <v>118</v>
      </c>
    </row>
  </sheetData>
  <mergeCells count="5">
    <mergeCell ref="A50:B50"/>
    <mergeCell ref="F8:F9"/>
    <mergeCell ref="G8:G9"/>
    <mergeCell ref="F4:G7"/>
    <mergeCell ref="A53:B5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H153"/>
  <sheetViews>
    <sheetView zoomScale="85" zoomScaleNormal="85" workbookViewId="0">
      <selection activeCell="G19" sqref="G19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Screen'!F7</f>
        <v>30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89.25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36.200000000000003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0.75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300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128.3683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163708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Screen'!G7</f>
        <v>89.002960000000002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Screen'!H7</f>
        <v>73.551322999999996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646.9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0.13728000000000001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0.40137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3668.5266106442577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81.277141499999999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83.041453270000005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11.399930704905602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952519.18848457152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2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188476.50567999997</v>
      </c>
      <c r="D39" s="3" t="s">
        <v>6</v>
      </c>
    </row>
    <row r="40" spans="1:4" ht="17.25" x14ac:dyDescent="0.3">
      <c r="A40" s="62"/>
      <c r="B40" s="2" t="s">
        <v>64</v>
      </c>
      <c r="C40" s="9">
        <f>IF(IF(C14&lt;=200,C17*(1.0167-0.000835*C14),C17*(1.1201-0.00135*C14))&gt;200000,200000,IF(C14&lt;=200,C17*(1.0167-0.000835*C14),C17*(1.1201-0.00135*C14)))</f>
        <v>191056.92905899999</v>
      </c>
      <c r="D40" s="3" t="s">
        <v>6</v>
      </c>
    </row>
    <row r="41" spans="1:4" ht="17.25" x14ac:dyDescent="0.3">
      <c r="A41" s="62"/>
      <c r="B41" s="2" t="s">
        <v>65</v>
      </c>
      <c r="C41" s="9">
        <f>IF(IF(C30&lt;=200,C17*(1.0167-0.000835*C30),C17*(1.1201-0.00135*C30))&gt;200000,200000,IF(C30&lt;=200,C17*(1.0167-0.000835*C30),C17*(1.1201-0.00135*C30)))</f>
        <v>189766.71736949999</v>
      </c>
      <c r="D41" s="3" t="s">
        <v>6</v>
      </c>
    </row>
    <row r="42" spans="1:4" ht="17.25" x14ac:dyDescent="0.3">
      <c r="A42" s="62"/>
      <c r="B42" s="2" t="s">
        <v>66</v>
      </c>
      <c r="C42" s="9">
        <f>IF(((C39*(C6+C7)*C8+C40*(C6+C7)*C8+C41*C5*C8)/C11)&gt;200000,200000,(C39*(C6+C7)*C8+C40*(C6+C7)*C8+C41*C5*C8)/C11)</f>
        <v>195911.562429299</v>
      </c>
      <c r="D42" s="3" t="s">
        <v>6</v>
      </c>
    </row>
    <row r="44" spans="1:4" ht="17.25" x14ac:dyDescent="0.3">
      <c r="A44" s="62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300</v>
      </c>
      <c r="D44" s="3" t="s">
        <v>6</v>
      </c>
    </row>
    <row r="45" spans="1:4" ht="17.25" x14ac:dyDescent="0.3">
      <c r="A45" s="62"/>
      <c r="B45" s="2" t="s">
        <v>68</v>
      </c>
      <c r="C45" s="10">
        <f>IF(IF(C14&lt;=200,C18*(1.01-0.0005*C14),C18*25*(1.16-C14^0.022))&gt;300,300,IF(C14&lt;=200,C18*(1.01-0.0005*C14),C18*25*(1.16-C14^0.022)))</f>
        <v>300</v>
      </c>
      <c r="D45" s="3" t="s">
        <v>6</v>
      </c>
    </row>
    <row r="46" spans="1:4" ht="17.25" x14ac:dyDescent="0.3">
      <c r="A46" s="62"/>
      <c r="B46" s="2" t="s">
        <v>69</v>
      </c>
      <c r="C46" s="10">
        <f>IF(IF(C30&lt;=200,C18*(1.01-0.0005*C30),C18*25*(1.16-C30^0.022))&gt;300,300,IF(C30&lt;=200,C18*(1.01-0.0005*C30),C18*25*(1.16-C30^0.022)))</f>
        <v>300</v>
      </c>
      <c r="D46" s="3" t="s">
        <v>6</v>
      </c>
    </row>
    <row r="47" spans="1:4" ht="17.25" x14ac:dyDescent="0.3">
      <c r="A47" s="62"/>
      <c r="B47" s="2" t="s">
        <v>70</v>
      </c>
      <c r="C47" s="7">
        <f>IF((C44*(C6+C7)*C8+C45*(C6+C7)*C8+C46*C5*C8)/C11&gt;300,300,(C44*(C6+C7)*C8+C45*(C6+C7)*C8+C46*C5*C8)/C11)</f>
        <v>300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8.3023659039585601E-6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1.6170396326362761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4002224.9744797684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92179251.489418313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462957209.4377026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566849492.85997045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44.772977106560646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0.14797710656064567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1.4690625260756305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0.14797710656064567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1794037137.9267442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10258152631.656662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1792519073.9531622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10261582402.244484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8432164355.9919338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32538455601.772987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38.510489999999997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35.682409401323262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10.816637140548531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1.0388729453335892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24.513090490582329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1.505403438767126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15.760665250874707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15.760665250874707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128.3683</v>
      </c>
      <c r="D94" s="3" t="s">
        <v>49</v>
      </c>
    </row>
    <row r="95" spans="1:4" ht="17.25" x14ac:dyDescent="0.3">
      <c r="B95" s="2" t="s">
        <v>105</v>
      </c>
      <c r="C95" s="16">
        <f>C60</f>
        <v>44.772977106560646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3709.5471417995577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1112864.1425398672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903782.19815088587</v>
      </c>
      <c r="D102" s="3" t="s">
        <v>38</v>
      </c>
    </row>
    <row r="105" spans="1:4" ht="17.25" x14ac:dyDescent="0.3">
      <c r="B105" s="2" t="s">
        <v>91</v>
      </c>
      <c r="C105" s="16">
        <f>SQRT(C100/C102)</f>
        <v>1.1096580887856335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882649.60236825503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15357.803892030668</v>
      </c>
    </row>
    <row r="113" spans="1:6" x14ac:dyDescent="0.25">
      <c r="A113" s="3">
        <v>2</v>
      </c>
      <c r="B113" s="18">
        <f>D112/1000</f>
        <v>15.357803892030669</v>
      </c>
      <c r="C113" s="16">
        <f>(1-B113/$C$80)</f>
        <v>0.56959734082695856</v>
      </c>
      <c r="D113" s="11">
        <f t="shared" si="1"/>
        <v>15066.793237613119</v>
      </c>
    </row>
    <row r="114" spans="1:6" x14ac:dyDescent="0.25">
      <c r="A114" s="3">
        <v>3</v>
      </c>
      <c r="B114" s="18">
        <f>D113/1000</f>
        <v>15.066793237613119</v>
      </c>
      <c r="C114" s="16">
        <f t="shared" si="0"/>
        <v>0.57775291830337072</v>
      </c>
      <c r="D114" s="11">
        <f t="shared" si="1"/>
        <v>15076.162560536479</v>
      </c>
    </row>
    <row r="115" spans="1:6" x14ac:dyDescent="0.25">
      <c r="A115" s="3">
        <v>4</v>
      </c>
      <c r="B115" s="18">
        <f t="shared" ref="B115:B121" si="2">D114/1000</f>
        <v>15.07616256053648</v>
      </c>
      <c r="C115" s="16">
        <f t="shared" si="0"/>
        <v>0.57749034290331891</v>
      </c>
      <c r="D115" s="11">
        <f t="shared" si="1"/>
        <v>15075.864851402272</v>
      </c>
    </row>
    <row r="116" spans="1:6" x14ac:dyDescent="0.25">
      <c r="A116" s="3">
        <v>5</v>
      </c>
      <c r="B116" s="18">
        <f t="shared" si="2"/>
        <v>15.075864851402272</v>
      </c>
      <c r="C116" s="16">
        <f t="shared" si="0"/>
        <v>0.57749868620578093</v>
      </c>
      <c r="D116" s="11">
        <f t="shared" si="1"/>
        <v>15075.874315058492</v>
      </c>
    </row>
    <row r="117" spans="1:6" x14ac:dyDescent="0.25">
      <c r="A117" s="3">
        <v>6</v>
      </c>
      <c r="B117" s="18">
        <f t="shared" si="2"/>
        <v>15.075874315058492</v>
      </c>
      <c r="C117" s="16">
        <f t="shared" si="0"/>
        <v>0.57749842098668891</v>
      </c>
      <c r="D117" s="11">
        <f t="shared" si="1"/>
        <v>15075.874014229325</v>
      </c>
    </row>
    <row r="118" spans="1:6" x14ac:dyDescent="0.25">
      <c r="A118" s="3">
        <v>7</v>
      </c>
      <c r="B118" s="18">
        <f t="shared" si="2"/>
        <v>15.075874014229324</v>
      </c>
      <c r="C118" s="16">
        <f t="shared" si="0"/>
        <v>0.57749842941743046</v>
      </c>
      <c r="D118" s="11">
        <f t="shared" si="1"/>
        <v>15075.874023792037</v>
      </c>
    </row>
    <row r="119" spans="1:6" x14ac:dyDescent="0.25">
      <c r="A119" s="3">
        <v>8</v>
      </c>
      <c r="B119" s="18">
        <f t="shared" si="2"/>
        <v>15.075874023792037</v>
      </c>
      <c r="C119" s="16">
        <f t="shared" si="0"/>
        <v>0.57749842914943528</v>
      </c>
      <c r="D119" s="11">
        <f t="shared" si="1"/>
        <v>15075.874023488061</v>
      </c>
    </row>
    <row r="120" spans="1:6" x14ac:dyDescent="0.25">
      <c r="A120" s="3">
        <v>9</v>
      </c>
      <c r="B120" s="18">
        <f t="shared" si="2"/>
        <v>15.07587402348806</v>
      </c>
      <c r="C120" s="16">
        <f t="shared" si="0"/>
        <v>0.57749842915795424</v>
      </c>
      <c r="D120" s="11">
        <f t="shared" si="1"/>
        <v>15075.874023497723</v>
      </c>
    </row>
    <row r="121" spans="1:6" x14ac:dyDescent="0.25">
      <c r="A121" s="3">
        <v>10</v>
      </c>
      <c r="B121" s="18">
        <f t="shared" si="2"/>
        <v>15.075874023497724</v>
      </c>
      <c r="C121" s="16">
        <f t="shared" si="0"/>
        <v>0.57749842915768346</v>
      </c>
      <c r="D121" s="11">
        <f t="shared" si="1"/>
        <v>15075.874023497416</v>
      </c>
    </row>
    <row r="123" spans="1:6" x14ac:dyDescent="0.25">
      <c r="A123" s="30" t="s">
        <v>153</v>
      </c>
      <c r="B123" s="30"/>
      <c r="C123" s="31"/>
      <c r="D123" s="30">
        <f>D121/1000</f>
        <v>15.075874023497416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1112864.1425398672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903782.19815088587</v>
      </c>
      <c r="D128" s="3" t="s">
        <v>38</v>
      </c>
    </row>
    <row r="131" spans="1:4" ht="17.25" x14ac:dyDescent="0.3">
      <c r="B131" s="2" t="s">
        <v>91</v>
      </c>
      <c r="C131" s="16">
        <f>SQRT(C126/C128)</f>
        <v>1.1096580887856335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882649.60236825503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15719.130723604709</v>
      </c>
    </row>
    <row r="139" spans="1:4" x14ac:dyDescent="0.25">
      <c r="A139" s="3">
        <v>2</v>
      </c>
      <c r="B139" s="18">
        <f>D138/1000</f>
        <v>15.719130723604708</v>
      </c>
      <c r="C139" s="16">
        <f t="shared" si="3"/>
        <v>0.55947115154668414</v>
      </c>
      <c r="D139" s="11">
        <f t="shared" si="4"/>
        <v>15686.580074457332</v>
      </c>
    </row>
    <row r="140" spans="1:4" x14ac:dyDescent="0.25">
      <c r="A140" s="3">
        <v>3</v>
      </c>
      <c r="B140" s="18">
        <f>D139/1000</f>
        <v>15.686580074457332</v>
      </c>
      <c r="C140" s="16">
        <f t="shared" si="3"/>
        <v>0.56038338392374354</v>
      </c>
      <c r="D140" s="11">
        <f t="shared" si="4"/>
        <v>15686.70010965204</v>
      </c>
    </row>
    <row r="141" spans="1:4" x14ac:dyDescent="0.25">
      <c r="A141" s="3">
        <v>4</v>
      </c>
      <c r="B141" s="18">
        <f>D140/1000</f>
        <v>15.68670010965204</v>
      </c>
      <c r="C141" s="16">
        <f t="shared" si="3"/>
        <v>0.56038001993580888</v>
      </c>
      <c r="D141" s="11">
        <f t="shared" si="4"/>
        <v>15686.699667719564</v>
      </c>
    </row>
    <row r="142" spans="1:4" x14ac:dyDescent="0.25">
      <c r="A142" s="3">
        <v>5</v>
      </c>
      <c r="B142" s="18">
        <f>D141/1000</f>
        <v>15.686699667719564</v>
      </c>
      <c r="C142" s="16">
        <f t="shared" si="3"/>
        <v>0.56038003232097244</v>
      </c>
      <c r="D142" s="11">
        <f t="shared" si="4"/>
        <v>15686.699669346634</v>
      </c>
    </row>
    <row r="143" spans="1:4" x14ac:dyDescent="0.25">
      <c r="A143" s="3">
        <v>6</v>
      </c>
      <c r="B143" s="18">
        <f>D142/1000</f>
        <v>15.686699669346634</v>
      </c>
      <c r="C143" s="16">
        <f t="shared" si="3"/>
        <v>0.5603800322753737</v>
      </c>
      <c r="D143" s="11">
        <f t="shared" si="4"/>
        <v>15686.699669340642</v>
      </c>
    </row>
    <row r="144" spans="1:4" ht="18.75" customHeight="1" x14ac:dyDescent="0.25">
      <c r="A144" s="3">
        <v>7</v>
      </c>
      <c r="B144" s="18">
        <f t="shared" ref="B144:B147" si="5">D143/1000</f>
        <v>15.686699669340642</v>
      </c>
      <c r="C144" s="16">
        <f t="shared" si="3"/>
        <v>0.56038003227554167</v>
      </c>
      <c r="D144" s="11">
        <f t="shared" si="4"/>
        <v>15686.699669340665</v>
      </c>
    </row>
    <row r="145" spans="1:5" x14ac:dyDescent="0.25">
      <c r="A145" s="3">
        <v>8</v>
      </c>
      <c r="B145" s="18">
        <f t="shared" si="5"/>
        <v>15.686699669340666</v>
      </c>
      <c r="C145" s="16">
        <f t="shared" si="3"/>
        <v>0.56038003227554101</v>
      </c>
      <c r="D145" s="11">
        <f t="shared" si="4"/>
        <v>15686.699669340665</v>
      </c>
    </row>
    <row r="146" spans="1:5" x14ac:dyDescent="0.25">
      <c r="A146" s="3">
        <v>9</v>
      </c>
      <c r="B146" s="18">
        <f t="shared" si="5"/>
        <v>15.686699669340666</v>
      </c>
      <c r="C146" s="16">
        <f t="shared" si="3"/>
        <v>0.56038003227554101</v>
      </c>
      <c r="D146" s="11">
        <f t="shared" si="4"/>
        <v>15686.699669340665</v>
      </c>
    </row>
    <row r="147" spans="1:5" x14ac:dyDescent="0.25">
      <c r="A147" s="3">
        <v>10</v>
      </c>
      <c r="B147" s="18">
        <f t="shared" si="5"/>
        <v>15.686699669340666</v>
      </c>
      <c r="C147" s="16">
        <f t="shared" si="3"/>
        <v>0.56038003227554101</v>
      </c>
      <c r="D147" s="11">
        <f t="shared" si="4"/>
        <v>15686.699669340665</v>
      </c>
    </row>
    <row r="149" spans="1:5" x14ac:dyDescent="0.25">
      <c r="A149" s="30" t="s">
        <v>152</v>
      </c>
      <c r="B149" s="30"/>
      <c r="C149" s="31"/>
      <c r="D149" s="30">
        <f>D147/1000</f>
        <v>15.686699669340666</v>
      </c>
      <c r="E149" s="30" t="s">
        <v>8</v>
      </c>
    </row>
    <row r="152" spans="1:5" ht="30" customHeight="1" x14ac:dyDescent="0.25">
      <c r="A152" s="63" t="s">
        <v>46</v>
      </c>
      <c r="B152" s="63">
        <f>MIN(D149,D123)</f>
        <v>15.075874023497416</v>
      </c>
      <c r="C152" s="28">
        <f>IF(F123=TRUE,D149,MIN(D149,D123))</f>
        <v>15.075874023497416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3"/>
  <sheetViews>
    <sheetView zoomScale="85" zoomScaleNormal="85" workbookViewId="0">
      <selection activeCell="C2" sqref="C2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Screen'!F8</f>
        <v>60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89.25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36.200000000000003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0.75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300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128.3683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163708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Screen'!G8</f>
        <v>139.55946399999999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Screen'!H8</f>
        <v>101.054169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646.9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0.13728000000000001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0.40137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3668.5266106442577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120.3068165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83.041453270000005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11.399930704905602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952519.18848457152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2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180033.56951199999</v>
      </c>
      <c r="D39" s="3" t="s">
        <v>6</v>
      </c>
    </row>
    <row r="40" spans="1:4" ht="17.25" x14ac:dyDescent="0.3">
      <c r="A40" s="62"/>
      <c r="B40" s="2" t="s">
        <v>64</v>
      </c>
      <c r="C40" s="9">
        <f>IF(IF(C14&lt;=200,C17*(1.0167-0.000835*C14),C17*(1.1201-0.00135*C14))&gt;200000,200000,IF(C14&lt;=200,C17*(1.0167-0.000835*C14),C17*(1.1201-0.00135*C14)))</f>
        <v>186463.95377699999</v>
      </c>
      <c r="D40" s="3" t="s">
        <v>6</v>
      </c>
    </row>
    <row r="41" spans="1:4" ht="17.25" x14ac:dyDescent="0.3">
      <c r="A41" s="62"/>
      <c r="B41" s="2" t="s">
        <v>65</v>
      </c>
      <c r="C41" s="9">
        <f>IF(IF(C30&lt;=200,C17*(1.0167-0.000835*C30),C17*(1.1201-0.00135*C30))&gt;200000,200000,IF(C30&lt;=200,C17*(1.0167-0.000835*C30),C17*(1.1201-0.00135*C30)))</f>
        <v>183248.76164449999</v>
      </c>
      <c r="D41" s="3" t="s">
        <v>6</v>
      </c>
    </row>
    <row r="42" spans="1:4" ht="17.25" x14ac:dyDescent="0.3">
      <c r="A42" s="62"/>
      <c r="B42" s="2" t="s">
        <v>66</v>
      </c>
      <c r="C42" s="9">
        <f>IF(((C39*(C6+C7)*C8+C40*(C6+C7)*C8+C41*C5*C8)/C11)&gt;200000,200000,(C39*(C6+C7)*C8+C40*(C6+C7)*C8+C41*C5*C8)/C11)</f>
        <v>189182.54847136998</v>
      </c>
      <c r="D42" s="3" t="s">
        <v>6</v>
      </c>
    </row>
    <row r="44" spans="1:4" ht="17.25" x14ac:dyDescent="0.3">
      <c r="A44" s="62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300</v>
      </c>
      <c r="D44" s="3" t="s">
        <v>6</v>
      </c>
    </row>
    <row r="45" spans="1:4" ht="17.25" x14ac:dyDescent="0.3">
      <c r="A45" s="62"/>
      <c r="B45" s="2" t="s">
        <v>68</v>
      </c>
      <c r="C45" s="10">
        <f>IF(IF(C14&lt;=200,C18*(1.01-0.0005*C14),C18*25*(1.16-C14^0.022))&gt;300,300,IF(C14&lt;=200,C18*(1.01-0.0005*C14),C18*25*(1.16-C14^0.022)))</f>
        <v>300</v>
      </c>
      <c r="D45" s="3" t="s">
        <v>6</v>
      </c>
    </row>
    <row r="46" spans="1:4" ht="17.25" x14ac:dyDescent="0.3">
      <c r="A46" s="62"/>
      <c r="B46" s="2" t="s">
        <v>69</v>
      </c>
      <c r="C46" s="10">
        <f>IF(IF(C30&lt;=200,C18*(1.01-0.0005*C30),C18*25*(1.16-C30^0.022))&gt;300,300,IF(C30&lt;=200,C18*(1.01-0.0005*C30),C18*25*(1.16-C30^0.022)))</f>
        <v>300</v>
      </c>
      <c r="D46" s="3" t="s">
        <v>6</v>
      </c>
    </row>
    <row r="47" spans="1:4" ht="17.25" x14ac:dyDescent="0.3">
      <c r="A47" s="62"/>
      <c r="B47" s="2" t="s">
        <v>70</v>
      </c>
      <c r="C47" s="7">
        <f>IF((C44*(C6+C7)*C8+C45*(C6+C7)*C8+C46*C5*C8)/C11&gt;300,300,(C44*(C6+C7)*C8+C45*(C6+C7)*C8+C46*C5*C8)/C11)</f>
        <v>300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9.9926172788611895E-6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4.8500253295543772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3822942.5229742294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89963278.346285567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451827798.79531533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547379798.97257531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45.006873468616099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0.38187346861609939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4.4681518609382778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0.38187346861609939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1733220172.6682825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9901273683.0947304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1729441672.970794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9909842266.7998028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8144063259.1480083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31417841054.681618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38.510489999999997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34.453518038445736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10.445115922535317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1.0572379287044973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24.121297589625382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1.5196504437120657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15.406345422706805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15.406345422706805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128.3683</v>
      </c>
      <c r="D94" s="3" t="s">
        <v>49</v>
      </c>
    </row>
    <row r="95" spans="1:4" ht="17.25" x14ac:dyDescent="0.3">
      <c r="B95" s="2" t="s">
        <v>105</v>
      </c>
      <c r="C95" s="16">
        <f>C60</f>
        <v>45.006873468616099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3689.9155119545749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1106974.6535863725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872739.80866210908</v>
      </c>
      <c r="D102" s="3" t="s">
        <v>38</v>
      </c>
    </row>
    <row r="105" spans="1:4" ht="17.25" x14ac:dyDescent="0.3">
      <c r="B105" s="2" t="s">
        <v>91</v>
      </c>
      <c r="C105" s="16">
        <f>SQRT(C100/C102)</f>
        <v>1.1262283240801196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869266.5881619812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14275.831338128386</v>
      </c>
    </row>
    <row r="113" spans="1:6" x14ac:dyDescent="0.25">
      <c r="A113" s="3">
        <v>2</v>
      </c>
      <c r="B113" s="18">
        <f>D112/1000</f>
        <v>14.275831338128386</v>
      </c>
      <c r="C113" s="16">
        <f>(1-B113/$C$80)</f>
        <v>0.58564953157473276</v>
      </c>
      <c r="D113" s="11">
        <f t="shared" si="1"/>
        <v>13571.257564582585</v>
      </c>
    </row>
    <row r="114" spans="1:6" x14ac:dyDescent="0.25">
      <c r="A114" s="3">
        <v>3</v>
      </c>
      <c r="B114" s="18">
        <f>D113/1000</f>
        <v>13.571257564582586</v>
      </c>
      <c r="C114" s="16">
        <f t="shared" si="0"/>
        <v>0.6060995121183621</v>
      </c>
      <c r="D114" s="11">
        <f t="shared" si="1"/>
        <v>13626.01904587165</v>
      </c>
    </row>
    <row r="115" spans="1:6" x14ac:dyDescent="0.25">
      <c r="A115" s="3">
        <v>4</v>
      </c>
      <c r="B115" s="18">
        <f t="shared" ref="B115:B121" si="2">D114/1000</f>
        <v>13.626019045871649</v>
      </c>
      <c r="C115" s="16">
        <f t="shared" si="0"/>
        <v>0.60451008136043616</v>
      </c>
      <c r="D115" s="11">
        <f t="shared" si="1"/>
        <v>13621.880239412088</v>
      </c>
    </row>
    <row r="116" spans="1:6" x14ac:dyDescent="0.25">
      <c r="A116" s="3">
        <v>5</v>
      </c>
      <c r="B116" s="18">
        <f t="shared" si="2"/>
        <v>13.621880239412089</v>
      </c>
      <c r="C116" s="16">
        <f t="shared" si="0"/>
        <v>0.60463020861289674</v>
      </c>
      <c r="D116" s="11">
        <f t="shared" si="1"/>
        <v>13622.19371750957</v>
      </c>
    </row>
    <row r="117" spans="1:6" x14ac:dyDescent="0.25">
      <c r="A117" s="3">
        <v>6</v>
      </c>
      <c r="B117" s="18">
        <f t="shared" si="2"/>
        <v>13.622193717509569</v>
      </c>
      <c r="C117" s="16">
        <f t="shared" si="0"/>
        <v>0.60462111003268415</v>
      </c>
      <c r="D117" s="11">
        <f t="shared" si="1"/>
        <v>13622.169978162741</v>
      </c>
    </row>
    <row r="118" spans="1:6" x14ac:dyDescent="0.25">
      <c r="A118" s="3">
        <v>7</v>
      </c>
      <c r="B118" s="18">
        <f t="shared" si="2"/>
        <v>13.622169978162741</v>
      </c>
      <c r="C118" s="16">
        <f t="shared" si="0"/>
        <v>0.60462179905801972</v>
      </c>
      <c r="D118" s="11">
        <f t="shared" si="1"/>
        <v>13622.171775939118</v>
      </c>
    </row>
    <row r="119" spans="1:6" x14ac:dyDescent="0.25">
      <c r="A119" s="3">
        <v>8</v>
      </c>
      <c r="B119" s="18">
        <f t="shared" si="2"/>
        <v>13.622171775939117</v>
      </c>
      <c r="C119" s="16">
        <f t="shared" si="0"/>
        <v>0.60462174687825754</v>
      </c>
      <c r="D119" s="11">
        <f t="shared" si="1"/>
        <v>13622.171639793969</v>
      </c>
    </row>
    <row r="120" spans="1:6" x14ac:dyDescent="0.25">
      <c r="A120" s="3">
        <v>9</v>
      </c>
      <c r="B120" s="18">
        <f t="shared" si="2"/>
        <v>13.622171639793969</v>
      </c>
      <c r="C120" s="16">
        <f t="shared" si="0"/>
        <v>0.60462175082981773</v>
      </c>
      <c r="D120" s="11">
        <f t="shared" si="1"/>
        <v>13622.171650104206</v>
      </c>
    </row>
    <row r="121" spans="1:6" x14ac:dyDescent="0.25">
      <c r="A121" s="3">
        <v>10</v>
      </c>
      <c r="B121" s="18">
        <f t="shared" si="2"/>
        <v>13.622171650104207</v>
      </c>
      <c r="C121" s="16">
        <f t="shared" si="0"/>
        <v>0.6046217505305671</v>
      </c>
      <c r="D121" s="11">
        <f t="shared" si="1"/>
        <v>13622.171649323418</v>
      </c>
    </row>
    <row r="123" spans="1:6" x14ac:dyDescent="0.25">
      <c r="A123" s="30" t="s">
        <v>153</v>
      </c>
      <c r="B123" s="30"/>
      <c r="C123" s="31"/>
      <c r="D123" s="30">
        <f>D121/1000</f>
        <v>13.622171649323418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1106974.6535863725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872739.80866210908</v>
      </c>
      <c r="D128" s="3" t="s">
        <v>38</v>
      </c>
    </row>
    <row r="131" spans="1:4" ht="17.25" x14ac:dyDescent="0.3">
      <c r="B131" s="2" t="s">
        <v>91</v>
      </c>
      <c r="C131" s="16">
        <f>SQRT(C126/C128)</f>
        <v>1.1262283240801196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869266.5881619812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15302.774864075092</v>
      </c>
    </row>
    <row r="139" spans="1:4" x14ac:dyDescent="0.25">
      <c r="A139" s="3">
        <v>2</v>
      </c>
      <c r="B139" s="18">
        <f>D138/1000</f>
        <v>15.302774864075092</v>
      </c>
      <c r="C139" s="16">
        <f t="shared" si="3"/>
        <v>0.55584289398257836</v>
      </c>
      <c r="D139" s="11">
        <f t="shared" si="4"/>
        <v>15221.01037512227</v>
      </c>
    </row>
    <row r="140" spans="1:4" x14ac:dyDescent="0.25">
      <c r="A140" s="3">
        <v>3</v>
      </c>
      <c r="B140" s="18">
        <f>D139/1000</f>
        <v>15.221010375122271</v>
      </c>
      <c r="C140" s="16">
        <f t="shared" si="3"/>
        <v>0.5582160765661851</v>
      </c>
      <c r="D140" s="11">
        <f t="shared" si="4"/>
        <v>15221.78886403051</v>
      </c>
    </row>
    <row r="141" spans="1:4" x14ac:dyDescent="0.25">
      <c r="A141" s="3">
        <v>4</v>
      </c>
      <c r="B141" s="18">
        <f>D140/1000</f>
        <v>15.221788864030509</v>
      </c>
      <c r="C141" s="16">
        <f t="shared" si="3"/>
        <v>0.55819348122752133</v>
      </c>
      <c r="D141" s="11">
        <f t="shared" si="4"/>
        <v>15221.781482788743</v>
      </c>
    </row>
    <row r="142" spans="1:4" x14ac:dyDescent="0.25">
      <c r="A142" s="3">
        <v>5</v>
      </c>
      <c r="B142" s="18">
        <f>D141/1000</f>
        <v>15.221781482788744</v>
      </c>
      <c r="C142" s="16">
        <f t="shared" si="3"/>
        <v>0.55819369546520115</v>
      </c>
      <c r="D142" s="11">
        <f t="shared" si="4"/>
        <v>15221.781552776753</v>
      </c>
    </row>
    <row r="143" spans="1:4" x14ac:dyDescent="0.25">
      <c r="A143" s="3">
        <v>6</v>
      </c>
      <c r="B143" s="18">
        <f>D142/1000</f>
        <v>15.221781552776752</v>
      </c>
      <c r="C143" s="16">
        <f t="shared" si="3"/>
        <v>0.5581936934338263</v>
      </c>
      <c r="D143" s="11">
        <f t="shared" si="4"/>
        <v>15221.781552113138</v>
      </c>
    </row>
    <row r="144" spans="1:4" ht="18.75" customHeight="1" x14ac:dyDescent="0.25">
      <c r="A144" s="3">
        <v>7</v>
      </c>
      <c r="B144" s="18">
        <f t="shared" ref="B144:B147" si="5">D143/1000</f>
        <v>15.221781552113137</v>
      </c>
      <c r="C144" s="16">
        <f t="shared" si="3"/>
        <v>0.55819369345308745</v>
      </c>
      <c r="D144" s="11">
        <f t="shared" si="4"/>
        <v>15221.78155211943</v>
      </c>
    </row>
    <row r="145" spans="1:5" x14ac:dyDescent="0.25">
      <c r="A145" s="3">
        <v>8</v>
      </c>
      <c r="B145" s="18">
        <f t="shared" si="5"/>
        <v>15.221781552119429</v>
      </c>
      <c r="C145" s="16">
        <f t="shared" si="3"/>
        <v>0.55819369345290482</v>
      </c>
      <c r="D145" s="11">
        <f t="shared" si="4"/>
        <v>15221.781552119372</v>
      </c>
    </row>
    <row r="146" spans="1:5" x14ac:dyDescent="0.25">
      <c r="A146" s="3">
        <v>9</v>
      </c>
      <c r="B146" s="18">
        <f t="shared" si="5"/>
        <v>15.221781552119371</v>
      </c>
      <c r="C146" s="16">
        <f t="shared" si="3"/>
        <v>0.55819369345290659</v>
      </c>
      <c r="D146" s="11">
        <f t="shared" si="4"/>
        <v>15221.781552119372</v>
      </c>
    </row>
    <row r="147" spans="1:5" x14ac:dyDescent="0.25">
      <c r="A147" s="3">
        <v>10</v>
      </c>
      <c r="B147" s="18">
        <f t="shared" si="5"/>
        <v>15.221781552119371</v>
      </c>
      <c r="C147" s="16">
        <f t="shared" si="3"/>
        <v>0.55819369345290659</v>
      </c>
      <c r="D147" s="11">
        <f t="shared" si="4"/>
        <v>15221.781552119372</v>
      </c>
    </row>
    <row r="149" spans="1:5" x14ac:dyDescent="0.25">
      <c r="A149" s="30" t="s">
        <v>152</v>
      </c>
      <c r="B149" s="30"/>
      <c r="C149" s="31"/>
      <c r="D149" s="30">
        <f>D147/1000</f>
        <v>15.221781552119371</v>
      </c>
      <c r="E149" s="30" t="s">
        <v>8</v>
      </c>
    </row>
    <row r="152" spans="1:5" ht="30" customHeight="1" x14ac:dyDescent="0.25">
      <c r="A152" s="63" t="s">
        <v>46</v>
      </c>
      <c r="B152" s="63">
        <f>MIN(D149,D123)</f>
        <v>13.622171649323418</v>
      </c>
      <c r="C152" s="28">
        <f>IF(F123=TRUE,D149,MIN(D149,D123))</f>
        <v>13.622171649323418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3"/>
  <sheetViews>
    <sheetView topLeftCell="A121" zoomScale="85" zoomScaleNormal="85" workbookViewId="0">
      <selection activeCell="C15" sqref="C15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Screen'!F9</f>
        <v>75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89.25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36.200000000000003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0.75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300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128.3683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163708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Screen'!G9</f>
        <v>274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Screen'!H9</f>
        <v>195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646.9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0.13728000000000001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0.40137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3668.5266106442577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234.5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83.041453270000005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11.399930704905602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952519.18848457152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2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150040.00000000003</v>
      </c>
      <c r="D39" s="3" t="s">
        <v>6</v>
      </c>
    </row>
    <row r="40" spans="1:4" ht="17.25" x14ac:dyDescent="0.3">
      <c r="A40" s="62"/>
      <c r="B40" s="2" t="s">
        <v>64</v>
      </c>
      <c r="C40" s="9">
        <f>IF(IF(C14&lt;=200,C17*(1.0167-0.000835*C14),C17*(1.1201-0.00135*C14))&gt;200000,200000,IF(C14&lt;=200,C17*(1.0167-0.000835*C14),C17*(1.1201-0.00135*C14)))</f>
        <v>170775</v>
      </c>
      <c r="D40" s="3" t="s">
        <v>6</v>
      </c>
    </row>
    <row r="41" spans="1:4" ht="17.25" x14ac:dyDescent="0.3">
      <c r="A41" s="62"/>
      <c r="B41" s="2" t="s">
        <v>65</v>
      </c>
      <c r="C41" s="9">
        <f>IF(IF(C30&lt;=200,C17*(1.0167-0.000835*C30),C17*(1.1201-0.00135*C30))&gt;200000,200000,IF(C30&lt;=200,C17*(1.0167-0.000835*C30),C17*(1.1201-0.00135*C30)))</f>
        <v>160705</v>
      </c>
      <c r="D41" s="3" t="s">
        <v>6</v>
      </c>
    </row>
    <row r="42" spans="1:4" ht="17.25" x14ac:dyDescent="0.3">
      <c r="A42" s="62"/>
      <c r="B42" s="2" t="s">
        <v>66</v>
      </c>
      <c r="C42" s="9">
        <f>IF(((C39*(C6+C7)*C8+C40*(C6+C7)*C8+C41*C5*C8)/C11)&gt;200000,200000,(C39*(C6+C7)*C8+C40*(C6+C7)*C8+C41*C5*C8)/C11)</f>
        <v>165756.79387940792</v>
      </c>
      <c r="D42" s="3" t="s">
        <v>6</v>
      </c>
    </row>
    <row r="44" spans="1:4" ht="17.25" x14ac:dyDescent="0.3">
      <c r="A44" s="62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300</v>
      </c>
      <c r="D44" s="3" t="s">
        <v>6</v>
      </c>
    </row>
    <row r="45" spans="1:4" ht="17.25" x14ac:dyDescent="0.3">
      <c r="A45" s="62"/>
      <c r="B45" s="2" t="s">
        <v>68</v>
      </c>
      <c r="C45" s="10">
        <f>IF(IF(C14&lt;=200,C18*(1.01-0.0005*C14),C18*25*(1.16-C14^0.022))&gt;300,300,IF(C14&lt;=200,C18*(1.01-0.0005*C14),C18*25*(1.16-C14^0.022)))</f>
        <v>300</v>
      </c>
      <c r="D45" s="3" t="s">
        <v>6</v>
      </c>
    </row>
    <row r="46" spans="1:4" ht="17.25" x14ac:dyDescent="0.3">
      <c r="A46" s="62"/>
      <c r="B46" s="2" t="s">
        <v>69</v>
      </c>
      <c r="C46" s="10">
        <f>IF(IF(C30&lt;=200,C18*(1.01-0.0005*C30),C18*25*(1.16-C30^0.022))&gt;300,300,IF(C30&lt;=200,C18*(1.01-0.0005*C30),C18*25*(1.16-C30^0.022)))</f>
        <v>300</v>
      </c>
      <c r="D46" s="3" t="s">
        <v>6</v>
      </c>
    </row>
    <row r="47" spans="1:4" ht="17.25" x14ac:dyDescent="0.3">
      <c r="A47" s="62"/>
      <c r="B47" s="2" t="s">
        <v>70</v>
      </c>
      <c r="C47" s="7">
        <f>IF((C44*(C6+C7)*C8+C45*(C6+C7)*C8+C46*C5*C8)/C11&gt;300,300,(C44*(C6+C7)*C8+C45*(C6+C7)*C8+C46*C5*C8)/C11)</f>
        <v>300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1.1731659673659675E-5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11.682366985955223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3186040.7906250008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82393827.591796875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413811306.56250006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480039645.5859375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46.030388298474861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1.4053882984748611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10.276978687480362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1.4053882984748611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1516846019.9198797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8631291307.0366383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1505070992.4440265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8660974255.5843811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7161836430.9254875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27476019005.910412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38.510489999999997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30.130826456127583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9.1601293196592728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1.1305349690538971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22.555469198318576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1.5691885495051332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14.084018176694943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14.084018176694943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128.3683</v>
      </c>
      <c r="D94" s="3" t="s">
        <v>49</v>
      </c>
    </row>
    <row r="95" spans="1:4" ht="17.25" x14ac:dyDescent="0.3">
      <c r="B95" s="2" t="s">
        <v>105</v>
      </c>
      <c r="C95" s="16">
        <f>C60</f>
        <v>46.030388298474861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3601.1219747452096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1080336.5924235629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765372.98092706525</v>
      </c>
      <c r="D102" s="3" t="s">
        <v>38</v>
      </c>
    </row>
    <row r="105" spans="1:4" ht="17.25" x14ac:dyDescent="0.3">
      <c r="B105" s="2" t="s">
        <v>91</v>
      </c>
      <c r="C105" s="16">
        <f>SQRT(C100/C102)</f>
        <v>1.1880725994466312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818207.03445974994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11967.043373800021</v>
      </c>
    </row>
    <row r="113" spans="1:6" x14ac:dyDescent="0.25">
      <c r="A113" s="3">
        <v>2</v>
      </c>
      <c r="B113" s="18">
        <f>D112/1000</f>
        <v>11.967043373800021</v>
      </c>
      <c r="C113" s="16">
        <f>(1-B113/$C$80)</f>
        <v>0.6028305632032761</v>
      </c>
      <c r="D113" s="11">
        <f t="shared" si="1"/>
        <v>10888.725689932329</v>
      </c>
    </row>
    <row r="114" spans="1:6" x14ac:dyDescent="0.25">
      <c r="A114" s="3">
        <v>3</v>
      </c>
      <c r="B114" s="18">
        <f>D113/1000</f>
        <v>10.888725689932329</v>
      </c>
      <c r="C114" s="16">
        <f t="shared" si="0"/>
        <v>0.63861841938564101</v>
      </c>
      <c r="D114" s="11">
        <f t="shared" si="1"/>
        <v>11028.946448487231</v>
      </c>
    </row>
    <row r="115" spans="1:6" x14ac:dyDescent="0.25">
      <c r="A115" s="3">
        <v>4</v>
      </c>
      <c r="B115" s="18">
        <f t="shared" ref="B115:B121" si="2">D114/1000</f>
        <v>11.028946448487231</v>
      </c>
      <c r="C115" s="16">
        <f t="shared" si="0"/>
        <v>0.63396468847125442</v>
      </c>
      <c r="D115" s="11">
        <f t="shared" si="1"/>
        <v>11011.412728160634</v>
      </c>
    </row>
    <row r="116" spans="1:6" x14ac:dyDescent="0.25">
      <c r="A116" s="3">
        <v>5</v>
      </c>
      <c r="B116" s="18">
        <f t="shared" si="2"/>
        <v>11.011412728160634</v>
      </c>
      <c r="C116" s="16">
        <f t="shared" si="0"/>
        <v>0.6345466081325728</v>
      </c>
      <c r="D116" s="11">
        <f t="shared" si="1"/>
        <v>11013.616210946437</v>
      </c>
    </row>
    <row r="117" spans="1:6" x14ac:dyDescent="0.25">
      <c r="A117" s="3">
        <v>6</v>
      </c>
      <c r="B117" s="18">
        <f t="shared" si="2"/>
        <v>11.013616210946436</v>
      </c>
      <c r="C117" s="16">
        <f t="shared" si="0"/>
        <v>0.63447347761990636</v>
      </c>
      <c r="D117" s="11">
        <f t="shared" si="1"/>
        <v>11013.339470377088</v>
      </c>
    </row>
    <row r="118" spans="1:6" x14ac:dyDescent="0.25">
      <c r="A118" s="3">
        <v>7</v>
      </c>
      <c r="B118" s="18">
        <f t="shared" si="2"/>
        <v>11.013339470377089</v>
      </c>
      <c r="C118" s="16">
        <f t="shared" si="0"/>
        <v>0.63448266225245376</v>
      </c>
      <c r="D118" s="11">
        <f t="shared" si="1"/>
        <v>11013.374229613231</v>
      </c>
    </row>
    <row r="119" spans="1:6" x14ac:dyDescent="0.25">
      <c r="A119" s="3">
        <v>8</v>
      </c>
      <c r="B119" s="18">
        <f t="shared" si="2"/>
        <v>11.013374229613232</v>
      </c>
      <c r="C119" s="16">
        <f t="shared" si="0"/>
        <v>0.63448150864200781</v>
      </c>
      <c r="D119" s="11">
        <f t="shared" si="1"/>
        <v>11013.369863818432</v>
      </c>
    </row>
    <row r="120" spans="1:6" x14ac:dyDescent="0.25">
      <c r="A120" s="3">
        <v>9</v>
      </c>
      <c r="B120" s="18">
        <f t="shared" si="2"/>
        <v>11.013369863818433</v>
      </c>
      <c r="C120" s="16">
        <f t="shared" si="0"/>
        <v>0.63448165353663277</v>
      </c>
      <c r="D120" s="11">
        <f t="shared" si="1"/>
        <v>11013.370412167304</v>
      </c>
    </row>
    <row r="121" spans="1:6" x14ac:dyDescent="0.25">
      <c r="A121" s="3">
        <v>10</v>
      </c>
      <c r="B121" s="18">
        <f t="shared" si="2"/>
        <v>11.013370412167303</v>
      </c>
      <c r="C121" s="16">
        <f t="shared" si="0"/>
        <v>0.63448163533770052</v>
      </c>
      <c r="D121" s="11">
        <f t="shared" si="1"/>
        <v>11013.370343294064</v>
      </c>
    </row>
    <row r="123" spans="1:6" x14ac:dyDescent="0.25">
      <c r="A123" s="30" t="s">
        <v>153</v>
      </c>
      <c r="B123" s="30"/>
      <c r="C123" s="31"/>
      <c r="D123" s="30">
        <f>D121/1000</f>
        <v>11.013370343294064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1080336.5924235629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765372.98092706525</v>
      </c>
      <c r="D128" s="3" t="s">
        <v>38</v>
      </c>
    </row>
    <row r="131" spans="1:4" ht="17.25" x14ac:dyDescent="0.3">
      <c r="B131" s="2" t="s">
        <v>91</v>
      </c>
      <c r="C131" s="16">
        <f>SQRT(C126/C128)</f>
        <v>1.1880725994466312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818207.03445974994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13751.354652597332</v>
      </c>
    </row>
    <row r="139" spans="1:4" x14ac:dyDescent="0.25">
      <c r="A139" s="3">
        <v>2</v>
      </c>
      <c r="B139" s="18">
        <f>D138/1000</f>
        <v>13.751354652597332</v>
      </c>
      <c r="C139" s="16">
        <f t="shared" si="3"/>
        <v>0.54361176675255862</v>
      </c>
      <c r="D139" s="11">
        <f t="shared" si="4"/>
        <v>13483.966680317712</v>
      </c>
    </row>
    <row r="140" spans="1:4" x14ac:dyDescent="0.25">
      <c r="A140" s="3">
        <v>3</v>
      </c>
      <c r="B140" s="18">
        <f>D139/1000</f>
        <v>13.483966680317712</v>
      </c>
      <c r="C140" s="16">
        <f t="shared" si="3"/>
        <v>0.55248599968038603</v>
      </c>
      <c r="D140" s="11">
        <f t="shared" si="4"/>
        <v>13493.200608021256</v>
      </c>
    </row>
    <row r="141" spans="1:4" x14ac:dyDescent="0.25">
      <c r="A141" s="3">
        <v>4</v>
      </c>
      <c r="B141" s="18">
        <f>D140/1000</f>
        <v>13.493200608021256</v>
      </c>
      <c r="C141" s="16">
        <f t="shared" si="3"/>
        <v>0.55217953853113777</v>
      </c>
      <c r="D141" s="11">
        <f t="shared" si="4"/>
        <v>13492.886465440914</v>
      </c>
    </row>
    <row r="142" spans="1:4" x14ac:dyDescent="0.25">
      <c r="A142" s="3">
        <v>5</v>
      </c>
      <c r="B142" s="18">
        <f>D141/1000</f>
        <v>13.492886465440913</v>
      </c>
      <c r="C142" s="16">
        <f t="shared" si="3"/>
        <v>0.55218996448413316</v>
      </c>
      <c r="D142" s="11">
        <f t="shared" si="4"/>
        <v>13492.897158208914</v>
      </c>
    </row>
    <row r="143" spans="1:4" x14ac:dyDescent="0.25">
      <c r="A143" s="3">
        <v>6</v>
      </c>
      <c r="B143" s="18">
        <f>D142/1000</f>
        <v>13.492897158208914</v>
      </c>
      <c r="C143" s="16">
        <f t="shared" si="3"/>
        <v>0.5521896096061143</v>
      </c>
      <c r="D143" s="11">
        <f t="shared" si="4"/>
        <v>13492.896794255421</v>
      </c>
    </row>
    <row r="144" spans="1:4" ht="18.75" customHeight="1" x14ac:dyDescent="0.25">
      <c r="A144" s="3">
        <v>7</v>
      </c>
      <c r="B144" s="18">
        <f t="shared" ref="B144:B147" si="5">D143/1000</f>
        <v>13.492896794255421</v>
      </c>
      <c r="C144" s="16">
        <f t="shared" si="3"/>
        <v>0.55218962168522179</v>
      </c>
      <c r="D144" s="11">
        <f t="shared" si="4"/>
        <v>13492.896806643439</v>
      </c>
    </row>
    <row r="145" spans="1:5" x14ac:dyDescent="0.25">
      <c r="A145" s="3">
        <v>8</v>
      </c>
      <c r="B145" s="18">
        <f t="shared" si="5"/>
        <v>13.492896806643438</v>
      </c>
      <c r="C145" s="16">
        <f t="shared" si="3"/>
        <v>0.55218962127408089</v>
      </c>
      <c r="D145" s="11">
        <f t="shared" si="4"/>
        <v>13492.896806221785</v>
      </c>
    </row>
    <row r="146" spans="1:5" x14ac:dyDescent="0.25">
      <c r="A146" s="3">
        <v>9</v>
      </c>
      <c r="B146" s="18">
        <f t="shared" si="5"/>
        <v>13.492896806221784</v>
      </c>
      <c r="C146" s="16">
        <f t="shared" si="3"/>
        <v>0.55218962128807492</v>
      </c>
      <c r="D146" s="11">
        <f t="shared" si="4"/>
        <v>13492.896806236136</v>
      </c>
    </row>
    <row r="147" spans="1:5" x14ac:dyDescent="0.25">
      <c r="A147" s="3">
        <v>10</v>
      </c>
      <c r="B147" s="18">
        <f t="shared" si="5"/>
        <v>13.492896806236136</v>
      </c>
      <c r="C147" s="16">
        <f t="shared" si="3"/>
        <v>0.55218962128759863</v>
      </c>
      <c r="D147" s="11">
        <f t="shared" si="4"/>
        <v>13492.896806235649</v>
      </c>
    </row>
    <row r="149" spans="1:5" x14ac:dyDescent="0.25">
      <c r="A149" s="30" t="s">
        <v>152</v>
      </c>
      <c r="B149" s="30"/>
      <c r="C149" s="31"/>
      <c r="D149" s="30">
        <f>D147/1000</f>
        <v>13.492896806235649</v>
      </c>
      <c r="E149" s="30" t="s">
        <v>8</v>
      </c>
    </row>
    <row r="152" spans="1:5" ht="30" customHeight="1" x14ac:dyDescent="0.25">
      <c r="A152" s="63" t="s">
        <v>46</v>
      </c>
      <c r="B152" s="63">
        <f>MIN(D149,D123)</f>
        <v>11.013370343294064</v>
      </c>
      <c r="C152" s="28">
        <f>IF(F123=TRUE,D149,MIN(D149,D123))</f>
        <v>11.013370343294064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3"/>
  <sheetViews>
    <sheetView zoomScale="85" zoomScaleNormal="85" workbookViewId="0">
      <selection activeCell="C2" sqref="C2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Screen'!F10</f>
        <v>81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89.25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36.200000000000003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0.75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300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128.3683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163708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Screen'!G10</f>
        <v>352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Screen'!H10</f>
        <v>261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646.9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0.13728000000000001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0.40137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3668.5266106442577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306.5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83.041453270000005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11.399930704905602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952519.18848457152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2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128980</v>
      </c>
      <c r="D39" s="3" t="s">
        <v>6</v>
      </c>
    </row>
    <row r="40" spans="1:4" ht="17.25" x14ac:dyDescent="0.3">
      <c r="A40" s="62"/>
      <c r="B40" s="2" t="s">
        <v>64</v>
      </c>
      <c r="C40" s="9">
        <f>IF(IF(C14&lt;=200,C17*(1.0167-0.000835*C14),C17*(1.1201-0.00135*C14))&gt;200000,200000,IF(C14&lt;=200,C17*(1.0167-0.000835*C14),C17*(1.1201-0.00135*C14)))</f>
        <v>153550.00000000003</v>
      </c>
      <c r="D40" s="3" t="s">
        <v>6</v>
      </c>
    </row>
    <row r="41" spans="1:4" ht="17.25" x14ac:dyDescent="0.3">
      <c r="A41" s="62"/>
      <c r="B41" s="2" t="s">
        <v>65</v>
      </c>
      <c r="C41" s="9">
        <f>IF(IF(C30&lt;=200,C17*(1.0167-0.000835*C30),C17*(1.1201-0.00135*C30))&gt;200000,200000,IF(C30&lt;=200,C17*(1.0167-0.000835*C30),C17*(1.1201-0.00135*C30)))</f>
        <v>141265.00000000003</v>
      </c>
      <c r="D41" s="3" t="s">
        <v>6</v>
      </c>
    </row>
    <row r="42" spans="1:4" ht="17.25" x14ac:dyDescent="0.3">
      <c r="A42" s="62"/>
      <c r="B42" s="2" t="s">
        <v>66</v>
      </c>
      <c r="C42" s="9">
        <f>IF(((C39*(C6+C7)*C8+C40*(C6+C7)*C8+C41*C5*C8)/C11)&gt;200000,200000,(C39*(C6+C7)*C8+C40*(C6+C7)*C8+C41*C5*C8)/C11)</f>
        <v>145839.30865330462</v>
      </c>
      <c r="D42" s="3" t="s">
        <v>6</v>
      </c>
    </row>
    <row r="44" spans="1:4" ht="17.25" x14ac:dyDescent="0.3">
      <c r="A44" s="62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300</v>
      </c>
      <c r="D44" s="3" t="s">
        <v>6</v>
      </c>
    </row>
    <row r="45" spans="1:4" ht="17.25" x14ac:dyDescent="0.3">
      <c r="A45" s="62"/>
      <c r="B45" s="2" t="s">
        <v>68</v>
      </c>
      <c r="C45" s="10">
        <f>IF(IF(C14&lt;=200,C18*(1.01-0.0005*C14),C18*25*(1.16-C14^0.022))&gt;300,300,IF(C14&lt;=200,C18*(1.01-0.0005*C14),C18*25*(1.16-C14^0.022)))</f>
        <v>300</v>
      </c>
      <c r="D45" s="3" t="s">
        <v>6</v>
      </c>
    </row>
    <row r="46" spans="1:4" ht="17.25" x14ac:dyDescent="0.3">
      <c r="A46" s="62"/>
      <c r="B46" s="2" t="s">
        <v>69</v>
      </c>
      <c r="C46" s="10">
        <f>IF(IF(C30&lt;=200,C18*(1.01-0.0005*C30),C18*25*(1.16-C30^0.022))&gt;300,300,IF(C30&lt;=200,C18*(1.01-0.0005*C30),C18*25*(1.16-C30^0.022)))</f>
        <v>300</v>
      </c>
      <c r="D46" s="3" t="s">
        <v>6</v>
      </c>
    </row>
    <row r="47" spans="1:4" ht="17.25" x14ac:dyDescent="0.3">
      <c r="A47" s="62"/>
      <c r="B47" s="2" t="s">
        <v>70</v>
      </c>
      <c r="C47" s="7">
        <f>IF((C44*(C6+C7)*C8+C45*(C6+C7)*C8+C46*C5*C8)/C11&gt;300,300,(C44*(C6+C7)*C8+C45*(C6+C7)*C8+C46*C5*C8)/C11)</f>
        <v>300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1.230271902268761E-5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14.111942408376965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2738839.9171875003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74083280.496093765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372072763.12500012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421970694.96093756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46.517754079798728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1.8927540797987277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12.219188328578237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1.8927540797987277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1334101155.4568455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7577729373.3137789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1320140356.2695363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7612761799.8305521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6310690112.484066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24155422797.354778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38.510489999999997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26.489385238994103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8.0520560551424509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1.205739760845274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20.956286493700308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1.613257782006887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12.831473799151199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12.831473799151199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128.3683</v>
      </c>
      <c r="D94" s="3" t="s">
        <v>49</v>
      </c>
    </row>
    <row r="95" spans="1:4" ht="17.25" x14ac:dyDescent="0.3">
      <c r="B95" s="2" t="s">
        <v>105</v>
      </c>
      <c r="C95" s="16">
        <f>C60</f>
        <v>46.517754079798728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3560.5845917361157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1068175.3775208348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672788.11580636515</v>
      </c>
      <c r="D102" s="3" t="s">
        <v>38</v>
      </c>
    </row>
    <row r="105" spans="1:4" ht="17.25" x14ac:dyDescent="0.3">
      <c r="B105" s="2" t="s">
        <v>91</v>
      </c>
      <c r="C105" s="16">
        <f>SQRT(C100/C102)</f>
        <v>1.2600335986975639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777150.82836873701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10677.323561032159</v>
      </c>
    </row>
    <row r="113" spans="1:6" x14ac:dyDescent="0.25">
      <c r="A113" s="3">
        <v>2</v>
      </c>
      <c r="B113" s="18">
        <f>D112/1000</f>
        <v>10.677323561032159</v>
      </c>
      <c r="C113" s="16">
        <f>(1-B113/$C$80)</f>
        <v>0.5969206735188991</v>
      </c>
      <c r="D113" s="11">
        <f t="shared" si="1"/>
        <v>9590.1502935518201</v>
      </c>
    </row>
    <row r="114" spans="1:6" x14ac:dyDescent="0.25">
      <c r="A114" s="3">
        <v>3</v>
      </c>
      <c r="B114" s="18">
        <f>D113/1000</f>
        <v>9.5901502935518206</v>
      </c>
      <c r="C114" s="16">
        <f t="shared" si="0"/>
        <v>0.63796251943837134</v>
      </c>
      <c r="D114" s="11">
        <f t="shared" si="1"/>
        <v>9748.5734368316662</v>
      </c>
    </row>
    <row r="115" spans="1:6" x14ac:dyDescent="0.25">
      <c r="A115" s="3">
        <v>4</v>
      </c>
      <c r="B115" s="18">
        <f t="shared" ref="B115:B121" si="2">D114/1000</f>
        <v>9.7485734368316663</v>
      </c>
      <c r="C115" s="16">
        <f t="shared" si="0"/>
        <v>0.63198189203420507</v>
      </c>
      <c r="D115" s="11">
        <f t="shared" si="1"/>
        <v>9726.458800060449</v>
      </c>
    </row>
    <row r="116" spans="1:6" x14ac:dyDescent="0.25">
      <c r="A116" s="3">
        <v>5</v>
      </c>
      <c r="B116" s="18">
        <f t="shared" si="2"/>
        <v>9.7264588000604491</v>
      </c>
      <c r="C116" s="16">
        <f t="shared" si="0"/>
        <v>0.63281674103397201</v>
      </c>
      <c r="D116" s="11">
        <f t="shared" si="1"/>
        <v>9729.5648651332613</v>
      </c>
    </row>
    <row r="117" spans="1:6" x14ac:dyDescent="0.25">
      <c r="A117" s="3">
        <v>6</v>
      </c>
      <c r="B117" s="18">
        <f t="shared" si="2"/>
        <v>9.7295648651332609</v>
      </c>
      <c r="C117" s="16">
        <f t="shared" si="0"/>
        <v>0.63269948406312171</v>
      </c>
      <c r="D117" s="11">
        <f t="shared" si="1"/>
        <v>9729.1289844192779</v>
      </c>
    </row>
    <row r="118" spans="1:6" x14ac:dyDescent="0.25">
      <c r="A118" s="3">
        <v>7</v>
      </c>
      <c r="B118" s="18">
        <f t="shared" si="2"/>
        <v>9.7291289844192779</v>
      </c>
      <c r="C118" s="16">
        <f t="shared" si="0"/>
        <v>0.63271593898308498</v>
      </c>
      <c r="D118" s="11">
        <f t="shared" si="1"/>
        <v>9729.1901598753848</v>
      </c>
    </row>
    <row r="119" spans="1:6" x14ac:dyDescent="0.25">
      <c r="A119" s="3">
        <v>8</v>
      </c>
      <c r="B119" s="18">
        <f t="shared" si="2"/>
        <v>9.7291901598753849</v>
      </c>
      <c r="C119" s="16">
        <f t="shared" si="0"/>
        <v>0.63271362955024779</v>
      </c>
      <c r="D119" s="11">
        <f t="shared" si="1"/>
        <v>9729.1815741021001</v>
      </c>
    </row>
    <row r="120" spans="1:6" x14ac:dyDescent="0.25">
      <c r="A120" s="3">
        <v>9</v>
      </c>
      <c r="B120" s="18">
        <f t="shared" si="2"/>
        <v>9.7291815741020997</v>
      </c>
      <c r="C120" s="16">
        <f t="shared" si="0"/>
        <v>0.63271395367152161</v>
      </c>
      <c r="D120" s="11">
        <f t="shared" si="1"/>
        <v>9729.1827790898988</v>
      </c>
    </row>
    <row r="121" spans="1:6" x14ac:dyDescent="0.25">
      <c r="A121" s="3">
        <v>10</v>
      </c>
      <c r="B121" s="18">
        <f t="shared" si="2"/>
        <v>9.7291827790898981</v>
      </c>
      <c r="C121" s="16">
        <f t="shared" si="0"/>
        <v>0.63271390818206275</v>
      </c>
      <c r="D121" s="11">
        <f t="shared" si="1"/>
        <v>9729.1826099734953</v>
      </c>
    </row>
    <row r="123" spans="1:6" x14ac:dyDescent="0.25">
      <c r="A123" s="30" t="s">
        <v>153</v>
      </c>
      <c r="B123" s="30"/>
      <c r="C123" s="31"/>
      <c r="D123" s="30">
        <f>D121/1000</f>
        <v>9.7291826099734955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1068175.3775208348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672788.11580636515</v>
      </c>
      <c r="D128" s="3" t="s">
        <v>38</v>
      </c>
    </row>
    <row r="131" spans="1:4" ht="17.25" x14ac:dyDescent="0.3">
      <c r="B131" s="2" t="s">
        <v>91</v>
      </c>
      <c r="C131" s="16">
        <f>SQRT(C126/C128)</f>
        <v>1.2600335986975639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777150.82836873701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12442.627892464368</v>
      </c>
    </row>
    <row r="139" spans="1:4" x14ac:dyDescent="0.25">
      <c r="A139" s="3">
        <v>2</v>
      </c>
      <c r="B139" s="18">
        <f>D138/1000</f>
        <v>12.442627892464369</v>
      </c>
      <c r="C139" s="16">
        <f t="shared" si="3"/>
        <v>0.53027872182748848</v>
      </c>
      <c r="D139" s="11">
        <f t="shared" si="4"/>
        <v>12117.357200445404</v>
      </c>
    </row>
    <row r="140" spans="1:4" x14ac:dyDescent="0.25">
      <c r="A140" s="3">
        <v>3</v>
      </c>
      <c r="B140" s="18">
        <f>D139/1000</f>
        <v>12.117357200445404</v>
      </c>
      <c r="C140" s="16">
        <f t="shared" si="3"/>
        <v>0.54255800611756499</v>
      </c>
      <c r="D140" s="11">
        <f t="shared" si="4"/>
        <v>12132.639008485272</v>
      </c>
    </row>
    <row r="141" spans="1:4" x14ac:dyDescent="0.25">
      <c r="A141" s="3">
        <v>4</v>
      </c>
      <c r="B141" s="18">
        <f>D140/1000</f>
        <v>12.132639008485272</v>
      </c>
      <c r="C141" s="16">
        <f t="shared" si="3"/>
        <v>0.5419811030334809</v>
      </c>
      <c r="D141" s="11">
        <f t="shared" si="4"/>
        <v>12131.935698485731</v>
      </c>
    </row>
    <row r="142" spans="1:4" x14ac:dyDescent="0.25">
      <c r="A142" s="3">
        <v>5</v>
      </c>
      <c r="B142" s="18">
        <f>D141/1000</f>
        <v>12.131935698485732</v>
      </c>
      <c r="C142" s="16">
        <f t="shared" si="3"/>
        <v>0.54200765366850678</v>
      </c>
      <c r="D142" s="11">
        <f t="shared" si="4"/>
        <v>12131.968097782597</v>
      </c>
    </row>
    <row r="143" spans="1:4" x14ac:dyDescent="0.25">
      <c r="A143" s="3">
        <v>6</v>
      </c>
      <c r="B143" s="18">
        <f>D142/1000</f>
        <v>12.131968097782597</v>
      </c>
      <c r="C143" s="16">
        <f t="shared" si="3"/>
        <v>0.54200643056360742</v>
      </c>
      <c r="D143" s="11">
        <f t="shared" si="4"/>
        <v>12131.966605314045</v>
      </c>
    </row>
    <row r="144" spans="1:4" ht="18.75" customHeight="1" x14ac:dyDescent="0.25">
      <c r="A144" s="3">
        <v>7</v>
      </c>
      <c r="B144" s="18">
        <f t="shared" ref="B144:B147" si="5">D143/1000</f>
        <v>12.131966605314044</v>
      </c>
      <c r="C144" s="16">
        <f t="shared" si="3"/>
        <v>0.54200648690574371</v>
      </c>
      <c r="D144" s="11">
        <f t="shared" si="4"/>
        <v>12131.966674064515</v>
      </c>
    </row>
    <row r="145" spans="1:5" x14ac:dyDescent="0.25">
      <c r="A145" s="3">
        <v>8</v>
      </c>
      <c r="B145" s="18">
        <f t="shared" si="5"/>
        <v>12.131966674064515</v>
      </c>
      <c r="C145" s="16">
        <f t="shared" si="3"/>
        <v>0.5420064843103467</v>
      </c>
      <c r="D145" s="11">
        <f t="shared" si="4"/>
        <v>12131.966670897527</v>
      </c>
    </row>
    <row r="146" spans="1:5" x14ac:dyDescent="0.25">
      <c r="A146" s="3">
        <v>9</v>
      </c>
      <c r="B146" s="18">
        <f t="shared" si="5"/>
        <v>12.131966670897528</v>
      </c>
      <c r="C146" s="16">
        <f t="shared" si="3"/>
        <v>0.54200648442990351</v>
      </c>
      <c r="D146" s="11">
        <f t="shared" si="4"/>
        <v>12131.966671043416</v>
      </c>
    </row>
    <row r="147" spans="1:5" x14ac:dyDescent="0.25">
      <c r="A147" s="3">
        <v>10</v>
      </c>
      <c r="B147" s="18">
        <f t="shared" si="5"/>
        <v>12.131966671043417</v>
      </c>
      <c r="C147" s="16">
        <f t="shared" si="3"/>
        <v>0.54200648442439614</v>
      </c>
      <c r="D147" s="11">
        <f t="shared" si="4"/>
        <v>12131.966671036696</v>
      </c>
    </row>
    <row r="149" spans="1:5" x14ac:dyDescent="0.25">
      <c r="A149" s="30" t="s">
        <v>152</v>
      </c>
      <c r="B149" s="30"/>
      <c r="C149" s="31"/>
      <c r="D149" s="30">
        <f>D147/1000</f>
        <v>12.131966671036697</v>
      </c>
      <c r="E149" s="30" t="s">
        <v>8</v>
      </c>
    </row>
    <row r="152" spans="1:5" ht="30" customHeight="1" x14ac:dyDescent="0.25">
      <c r="A152" s="63" t="s">
        <v>46</v>
      </c>
      <c r="B152" s="63">
        <f>MIN(D149,D123)</f>
        <v>9.7291826099734955</v>
      </c>
      <c r="C152" s="28">
        <f>IF(F123=TRUE,D149,MIN(D149,D123))</f>
        <v>9.7291826099734955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53"/>
  <sheetViews>
    <sheetView zoomScale="85" zoomScaleNormal="85" workbookViewId="0">
      <selection activeCell="C15" sqref="C15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Screen'!F11</f>
        <v>90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89.25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36.200000000000003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0.75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300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128.3683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163708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Screen'!G11</f>
        <v>429.44787600000001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Screen'!H11</f>
        <v>300.14373799999998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646.9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0.13728000000000001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0.40137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3668.5266106442577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364.79580699999997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83.041453270000005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11.399930704905602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952519.18848457152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2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108069.07348000001</v>
      </c>
      <c r="D39" s="3" t="s">
        <v>6</v>
      </c>
    </row>
    <row r="40" spans="1:4" ht="17.25" x14ac:dyDescent="0.3">
      <c r="A40" s="62"/>
      <c r="B40" s="2" t="s">
        <v>64</v>
      </c>
      <c r="C40" s="9">
        <f>IF(IF(C14&lt;=200,C17*(1.0167-0.000835*C14),C17*(1.1201-0.00135*C14))&gt;200000,200000,IF(C14&lt;=200,C17*(1.0167-0.000835*C14),C17*(1.1201-0.00135*C14)))</f>
        <v>142981.19074000002</v>
      </c>
      <c r="D40" s="3" t="s">
        <v>6</v>
      </c>
    </row>
    <row r="41" spans="1:4" ht="17.25" x14ac:dyDescent="0.3">
      <c r="A41" s="62"/>
      <c r="B41" s="2" t="s">
        <v>65</v>
      </c>
      <c r="C41" s="9">
        <f>IF(IF(C30&lt;=200,C17*(1.0167-0.000835*C30),C17*(1.1201-0.00135*C30))&gt;200000,200000,IF(C30&lt;=200,C17*(1.0167-0.000835*C30),C17*(1.1201-0.00135*C30)))</f>
        <v>125525.13211000002</v>
      </c>
      <c r="D41" s="3" t="s">
        <v>6</v>
      </c>
    </row>
    <row r="42" spans="1:4" ht="17.25" x14ac:dyDescent="0.3">
      <c r="A42" s="62"/>
      <c r="B42" s="2" t="s">
        <v>66</v>
      </c>
      <c r="C42" s="9">
        <f>IF(((C39*(C6+C7)*C8+C40*(C6+C7)*C8+C41*C5*C8)/C11)&gt;200000,200000,(C39*(C6+C7)*C8+C40*(C6+C7)*C8+C41*C5*C8)/C11)</f>
        <v>129589.76735594186</v>
      </c>
      <c r="D42" s="3" t="s">
        <v>6</v>
      </c>
    </row>
    <row r="44" spans="1:4" ht="17.25" x14ac:dyDescent="0.3">
      <c r="A44" s="62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280.13306146799243</v>
      </c>
      <c r="D44" s="3" t="s">
        <v>6</v>
      </c>
    </row>
    <row r="45" spans="1:4" ht="17.25" x14ac:dyDescent="0.3">
      <c r="A45" s="62"/>
      <c r="B45" s="2" t="s">
        <v>68</v>
      </c>
      <c r="C45" s="10">
        <f>IF(IF(C14&lt;=200,C18*(1.01-0.0005*C14),C18*25*(1.16-C14^0.022))&gt;300,300,IF(C14&lt;=200,C18*(1.01-0.0005*C14),C18*25*(1.16-C14^0.022)))</f>
        <v>300</v>
      </c>
      <c r="D45" s="3" t="s">
        <v>6</v>
      </c>
    </row>
    <row r="46" spans="1:4" ht="17.25" x14ac:dyDescent="0.3">
      <c r="A46" s="62"/>
      <c r="B46" s="2" t="s">
        <v>69</v>
      </c>
      <c r="C46" s="10">
        <f>IF(IF(C30&lt;=200,C18*(1.01-0.0005*C30),C18*25*(1.16-C30^0.022))&gt;300,300,IF(C30&lt;=200,C18*(1.01-0.0005*C30),C18*25*(1.16-C30^0.022)))</f>
        <v>300</v>
      </c>
      <c r="D46" s="3" t="s">
        <v>6</v>
      </c>
    </row>
    <row r="47" spans="1:4" ht="17.25" x14ac:dyDescent="0.3">
      <c r="A47" s="62"/>
      <c r="B47" s="2" t="s">
        <v>70</v>
      </c>
      <c r="C47" s="7">
        <f>IF((C44*(C6+C7)*C8+C45*(C6+C7)*C8+C46*C5*C8)/C11&gt;300,300,(C44*(C6+C7)*C8+C45*(C6+C7)*C8+C46*C5*C8)/C11)</f>
        <v>300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1.2678478651276422E-5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20.664450670017231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2294804.5608659722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68984146.266733333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346463085.07674676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374954356.92861074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47.651698132306187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3.026698132306187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17.637752537711044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3.026698132306187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1177733659.0726483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6662496458.026536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1158995554.4323285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6717562443.3108044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5654419055.6683712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21371207170.510689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38.510489999999997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23.436151149629413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7.154889038890607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1.2818770643967996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19.359147634927496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1.6449081956269038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11.691247834171667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11.691247834171667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128.3683</v>
      </c>
      <c r="D94" s="3" t="s">
        <v>49</v>
      </c>
    </row>
    <row r="95" spans="1:4" ht="17.25" x14ac:dyDescent="0.3">
      <c r="B95" s="2" t="s">
        <v>105</v>
      </c>
      <c r="C95" s="16">
        <f>C60</f>
        <v>47.651698132306187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3460.8275731164767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1038248.271934943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597825.48485917924</v>
      </c>
      <c r="D102" s="3" t="s">
        <v>38</v>
      </c>
    </row>
    <row r="105" spans="1:4" ht="17.25" x14ac:dyDescent="0.3">
      <c r="B105" s="2" t="s">
        <v>91</v>
      </c>
      <c r="C105" s="16">
        <f>SQRT(C100/C102)</f>
        <v>1.3178421564981344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732409.53861732129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9122.765275398242</v>
      </c>
    </row>
    <row r="113" spans="1:6" x14ac:dyDescent="0.25">
      <c r="A113" s="3">
        <v>2</v>
      </c>
      <c r="B113" s="18">
        <f>D112/1000</f>
        <v>9.1227652753982422</v>
      </c>
      <c r="C113" s="16">
        <f>(1-B113/$C$80)</f>
        <v>0.61073961261158294</v>
      </c>
      <c r="D113" s="11">
        <f t="shared" si="1"/>
        <v>8002.2631058709912</v>
      </c>
    </row>
    <row r="114" spans="1:6" x14ac:dyDescent="0.25">
      <c r="A114" s="3">
        <v>3</v>
      </c>
      <c r="B114" s="18">
        <f>D113/1000</f>
        <v>8.0022631058709912</v>
      </c>
      <c r="C114" s="16">
        <f t="shared" si="0"/>
        <v>0.65855045673753776</v>
      </c>
      <c r="D114" s="11">
        <f t="shared" si="1"/>
        <v>8189.8751113165999</v>
      </c>
    </row>
    <row r="115" spans="1:6" x14ac:dyDescent="0.25">
      <c r="A115" s="3">
        <v>4</v>
      </c>
      <c r="B115" s="18">
        <f t="shared" ref="B115:B121" si="2">D114/1000</f>
        <v>8.1898751113165993</v>
      </c>
      <c r="C115" s="16">
        <f t="shared" si="0"/>
        <v>0.65054521712938762</v>
      </c>
      <c r="D115" s="11">
        <f t="shared" si="1"/>
        <v>8159.8036845079778</v>
      </c>
    </row>
    <row r="116" spans="1:6" x14ac:dyDescent="0.25">
      <c r="A116" s="3">
        <v>5</v>
      </c>
      <c r="B116" s="18">
        <f t="shared" si="2"/>
        <v>8.1598036845079776</v>
      </c>
      <c r="C116" s="16">
        <f t="shared" si="0"/>
        <v>0.65182833851807587</v>
      </c>
      <c r="D116" s="11">
        <f t="shared" si="1"/>
        <v>8164.6584024350313</v>
      </c>
    </row>
    <row r="117" spans="1:6" x14ac:dyDescent="0.25">
      <c r="A117" s="3">
        <v>6</v>
      </c>
      <c r="B117" s="18">
        <f t="shared" si="2"/>
        <v>8.1646584024350322</v>
      </c>
      <c r="C117" s="16">
        <f t="shared" si="0"/>
        <v>0.65162119196504087</v>
      </c>
      <c r="D117" s="11">
        <f t="shared" si="1"/>
        <v>8163.8755625902049</v>
      </c>
    </row>
    <row r="118" spans="1:6" x14ac:dyDescent="0.25">
      <c r="A118" s="3">
        <v>7</v>
      </c>
      <c r="B118" s="18">
        <f t="shared" si="2"/>
        <v>8.1638755625902046</v>
      </c>
      <c r="C118" s="16">
        <f t="shared" si="0"/>
        <v>0.65165459505413303</v>
      </c>
      <c r="D118" s="11">
        <f t="shared" si="1"/>
        <v>8164.001821691174</v>
      </c>
    </row>
    <row r="119" spans="1:6" x14ac:dyDescent="0.25">
      <c r="A119" s="3">
        <v>8</v>
      </c>
      <c r="B119" s="18">
        <f t="shared" si="2"/>
        <v>8.1640018216911745</v>
      </c>
      <c r="C119" s="16">
        <f t="shared" si="0"/>
        <v>0.65164920768911028</v>
      </c>
      <c r="D119" s="11">
        <f t="shared" si="1"/>
        <v>8163.9814588007266</v>
      </c>
    </row>
    <row r="120" spans="1:6" x14ac:dyDescent="0.25">
      <c r="A120" s="3">
        <v>9</v>
      </c>
      <c r="B120" s="18">
        <f t="shared" si="2"/>
        <v>8.1639814588007269</v>
      </c>
      <c r="C120" s="16">
        <f t="shared" si="0"/>
        <v>0.65165007655577356</v>
      </c>
      <c r="D120" s="11">
        <f t="shared" si="1"/>
        <v>8163.984742914995</v>
      </c>
    </row>
    <row r="121" spans="1:6" x14ac:dyDescent="0.25">
      <c r="A121" s="3">
        <v>10</v>
      </c>
      <c r="B121" s="18">
        <f t="shared" si="2"/>
        <v>8.1639847429149945</v>
      </c>
      <c r="C121" s="16">
        <f t="shared" si="0"/>
        <v>0.65164993642550018</v>
      </c>
      <c r="D121" s="11">
        <f t="shared" si="1"/>
        <v>8163.9842132555086</v>
      </c>
    </row>
    <row r="123" spans="1:6" x14ac:dyDescent="0.25">
      <c r="A123" s="30" t="s">
        <v>153</v>
      </c>
      <c r="B123" s="30"/>
      <c r="C123" s="31"/>
      <c r="D123" s="30">
        <f>D121/1000</f>
        <v>8.1639842132555085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969492.22326996108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597825.48485917924</v>
      </c>
      <c r="D128" s="3" t="s">
        <v>38</v>
      </c>
    </row>
    <row r="131" spans="1:4" ht="17.25" x14ac:dyDescent="0.3">
      <c r="B131" s="2" t="s">
        <v>91</v>
      </c>
      <c r="C131" s="16">
        <f>SQRT(C126/C128)</f>
        <v>1.2734589572675021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700239.76890345826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11128.862508032847</v>
      </c>
    </row>
    <row r="139" spans="1:4" x14ac:dyDescent="0.25">
      <c r="A139" s="3">
        <v>2</v>
      </c>
      <c r="B139" s="18">
        <f>D138/1000</f>
        <v>11.128862508032848</v>
      </c>
      <c r="C139" s="16">
        <f t="shared" si="3"/>
        <v>0.52514120441620271</v>
      </c>
      <c r="D139" s="11">
        <f t="shared" si="4"/>
        <v>10664.966126740594</v>
      </c>
    </row>
    <row r="140" spans="1:4" x14ac:dyDescent="0.25">
      <c r="A140" s="3">
        <v>3</v>
      </c>
      <c r="B140" s="18">
        <f>D139/1000</f>
        <v>10.664966126740593</v>
      </c>
      <c r="C140" s="16">
        <f t="shared" si="3"/>
        <v>0.54493525585111979</v>
      </c>
      <c r="D140" s="11">
        <f t="shared" si="4"/>
        <v>10699.080859918762</v>
      </c>
    </row>
    <row r="141" spans="1:4" x14ac:dyDescent="0.25">
      <c r="A141" s="3">
        <v>4</v>
      </c>
      <c r="B141" s="18">
        <f>D140/1000</f>
        <v>10.699080859918762</v>
      </c>
      <c r="C141" s="16">
        <f t="shared" si="3"/>
        <v>0.54347961012839163</v>
      </c>
      <c r="D141" s="11">
        <f t="shared" si="4"/>
        <v>10696.649528849326</v>
      </c>
    </row>
    <row r="142" spans="1:4" x14ac:dyDescent="0.25">
      <c r="A142" s="3">
        <v>5</v>
      </c>
      <c r="B142" s="18">
        <f>D141/1000</f>
        <v>10.696649528849326</v>
      </c>
      <c r="C142" s="16">
        <f t="shared" si="3"/>
        <v>0.54358335289118198</v>
      </c>
      <c r="D142" s="11">
        <f t="shared" si="4"/>
        <v>10696.82320225763</v>
      </c>
    </row>
    <row r="143" spans="1:4" x14ac:dyDescent="0.25">
      <c r="A143" s="3">
        <v>6</v>
      </c>
      <c r="B143" s="18">
        <f>D142/1000</f>
        <v>10.69682320225763</v>
      </c>
      <c r="C143" s="16">
        <f t="shared" si="3"/>
        <v>0.54357594239928031</v>
      </c>
      <c r="D143" s="11">
        <f t="shared" si="4"/>
        <v>10696.810798532599</v>
      </c>
    </row>
    <row r="144" spans="1:4" ht="18.75" customHeight="1" x14ac:dyDescent="0.25">
      <c r="A144" s="3">
        <v>7</v>
      </c>
      <c r="B144" s="18">
        <f t="shared" ref="B144:B147" si="5">D143/1000</f>
        <v>10.696810798532599</v>
      </c>
      <c r="C144" s="16">
        <f t="shared" si="3"/>
        <v>0.54357647165534073</v>
      </c>
      <c r="D144" s="11">
        <f t="shared" si="4"/>
        <v>10696.811684414773</v>
      </c>
    </row>
    <row r="145" spans="1:5" x14ac:dyDescent="0.25">
      <c r="A145" s="3">
        <v>8</v>
      </c>
      <c r="B145" s="18">
        <f t="shared" si="5"/>
        <v>10.696811684414774</v>
      </c>
      <c r="C145" s="16">
        <f t="shared" si="3"/>
        <v>0.54357643385552579</v>
      </c>
      <c r="D145" s="11">
        <f t="shared" si="4"/>
        <v>10696.811621144539</v>
      </c>
    </row>
    <row r="146" spans="1:5" x14ac:dyDescent="0.25">
      <c r="A146" s="3">
        <v>9</v>
      </c>
      <c r="B146" s="18">
        <f t="shared" si="5"/>
        <v>10.696811621144539</v>
      </c>
      <c r="C146" s="16">
        <f t="shared" si="3"/>
        <v>0.54357643655521126</v>
      </c>
      <c r="D146" s="11">
        <f t="shared" si="4"/>
        <v>10696.811625663338</v>
      </c>
    </row>
    <row r="147" spans="1:5" x14ac:dyDescent="0.25">
      <c r="A147" s="3">
        <v>10</v>
      </c>
      <c r="B147" s="18">
        <f t="shared" si="5"/>
        <v>10.696811625663338</v>
      </c>
      <c r="C147" s="16">
        <f t="shared" si="3"/>
        <v>0.54357643636239805</v>
      </c>
      <c r="D147" s="11">
        <f t="shared" si="4"/>
        <v>10696.811625340602</v>
      </c>
    </row>
    <row r="149" spans="1:5" x14ac:dyDescent="0.25">
      <c r="A149" s="30" t="s">
        <v>152</v>
      </c>
      <c r="B149" s="30"/>
      <c r="C149" s="31"/>
      <c r="D149" s="30">
        <f>D147/1000</f>
        <v>10.696811625340603</v>
      </c>
      <c r="E149" s="30" t="s">
        <v>8</v>
      </c>
    </row>
    <row r="152" spans="1:5" ht="30" customHeight="1" x14ac:dyDescent="0.25">
      <c r="A152" s="63" t="s">
        <v>46</v>
      </c>
      <c r="B152" s="63">
        <f>MIN(D149,D123)</f>
        <v>8.1639842132555085</v>
      </c>
      <c r="C152" s="28">
        <f>IF(F123=TRUE,D149,MIN(D149,D123))</f>
        <v>8.1639842132555085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53"/>
  <sheetViews>
    <sheetView zoomScale="85" zoomScaleNormal="85" workbookViewId="0">
      <selection activeCell="C15" sqref="C15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Screen'!F12</f>
        <v>110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89.25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36.200000000000003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0.75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300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128.3683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163708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Screen'!G12</f>
        <v>447.84811400000001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Screen'!H12</f>
        <v>340.54977400000001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646.9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0.13728000000000001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0.40137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3668.5266106442577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394.19894399999998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83.041453270000005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11.399930704905602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952519.18848457152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2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103101.00922000001</v>
      </c>
      <c r="D39" s="3" t="s">
        <v>6</v>
      </c>
    </row>
    <row r="40" spans="1:4" ht="17.25" x14ac:dyDescent="0.3">
      <c r="A40" s="62"/>
      <c r="B40" s="2" t="s">
        <v>64</v>
      </c>
      <c r="C40" s="9">
        <f>IF(IF(C14&lt;=200,C17*(1.0167-0.000835*C14),C17*(1.1201-0.00135*C14))&gt;200000,200000,IF(C14&lt;=200,C17*(1.0167-0.000835*C14),C17*(1.1201-0.00135*C14)))</f>
        <v>132071.56102000002</v>
      </c>
      <c r="D40" s="3" t="s">
        <v>6</v>
      </c>
    </row>
    <row r="41" spans="1:4" ht="17.25" x14ac:dyDescent="0.3">
      <c r="A41" s="62"/>
      <c r="B41" s="2" t="s">
        <v>65</v>
      </c>
      <c r="C41" s="9">
        <f>IF(IF(C30&lt;=200,C17*(1.0167-0.000835*C30),C17*(1.1201-0.00135*C30))&gt;200000,200000,IF(C30&lt;=200,C17*(1.0167-0.000835*C30),C17*(1.1201-0.00135*C30)))</f>
        <v>117586.28512000003</v>
      </c>
      <c r="D41" s="3" t="s">
        <v>6</v>
      </c>
    </row>
    <row r="42" spans="1:4" ht="17.25" x14ac:dyDescent="0.3">
      <c r="A42" s="62"/>
      <c r="B42" s="2" t="s">
        <v>66</v>
      </c>
      <c r="C42" s="9">
        <f>IF(((C39*(C6+C7)*C8+C40*(C6+C7)*C8+C41*C5*C8)/C11)&gt;200000,200000,(C39*(C6+C7)*C8+C40*(C6+C7)*C8+C41*C5*C8)/C11)</f>
        <v>121393.8521856876</v>
      </c>
      <c r="D42" s="3" t="s">
        <v>6</v>
      </c>
    </row>
    <row r="44" spans="1:4" ht="17.25" x14ac:dyDescent="0.3">
      <c r="A44" s="62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263.06849357857106</v>
      </c>
      <c r="D44" s="3" t="s">
        <v>6</v>
      </c>
    </row>
    <row r="45" spans="1:4" ht="17.25" x14ac:dyDescent="0.3">
      <c r="A45" s="62"/>
      <c r="B45" s="2" t="s">
        <v>68</v>
      </c>
      <c r="C45" s="10">
        <f>IF(IF(C14&lt;=200,C18*(1.01-0.0005*C14),C18*25*(1.16-C14^0.022))&gt;300,300,IF(C14&lt;=200,C18*(1.01-0.0005*C14),C18*25*(1.16-C14^0.022)))</f>
        <v>300</v>
      </c>
      <c r="D45" s="3" t="s">
        <v>6</v>
      </c>
    </row>
    <row r="46" spans="1:4" ht="17.25" x14ac:dyDescent="0.3">
      <c r="A46" s="62"/>
      <c r="B46" s="2" t="s">
        <v>69</v>
      </c>
      <c r="C46" s="10">
        <f>IF(IF(C30&lt;=200,C18*(1.01-0.0005*C30),C18*25*(1.16-C30^0.022))&gt;300,300,IF(C30&lt;=200,C18*(1.01-0.0005*C30),C18*25*(1.16-C30^0.022)))</f>
        <v>300</v>
      </c>
      <c r="D46" s="3" t="s">
        <v>6</v>
      </c>
    </row>
    <row r="47" spans="1:4" ht="17.25" x14ac:dyDescent="0.3">
      <c r="A47" s="62"/>
      <c r="B47" s="2" t="s">
        <v>70</v>
      </c>
      <c r="C47" s="7">
        <f>IF((C44*(C6+C7)*C8+C45*(C6+C7)*C8+C46*C5*C8)/C11&gt;300,300,(C44*(C6+C7)*C8+C45*(C6+C7)*C8+C46*C5*C8)/C11)</f>
        <v>300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1.2851149913354274E-5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17.38118133774022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2189309.6569549739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63720576.363410115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320027552.19110036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351240338.72481757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47.306166013018647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2.6811660130186468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14.700015324721573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2.6811660130186468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1106012851.7293952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6264369266.3384981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1090141248.565177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6308512498.6284199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5281281422.9289179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20050317288.190407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38.510489999999997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21.98763330564023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6.7023775110763646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1.3234278801528223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18.501575915979284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1.6614601075545619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11.094115744040623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11.094115744040623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128.3683</v>
      </c>
      <c r="D94" s="3" t="s">
        <v>49</v>
      </c>
    </row>
    <row r="95" spans="1:4" ht="17.25" x14ac:dyDescent="0.3">
      <c r="B95" s="2" t="s">
        <v>105</v>
      </c>
      <c r="C95" s="16">
        <f>C60</f>
        <v>47.306166013018647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3491.4578616876529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1047437.3585062958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560015.96439708944</v>
      </c>
      <c r="D102" s="3" t="s">
        <v>38</v>
      </c>
    </row>
    <row r="105" spans="1:4" ht="17.25" x14ac:dyDescent="0.3">
      <c r="B105" s="2" t="s">
        <v>91</v>
      </c>
      <c r="C105" s="16">
        <f>SQRT(C100/C102)</f>
        <v>1.3676149071391608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720165.43955901603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9045.6912344735956</v>
      </c>
    </row>
    <row r="113" spans="1:6" x14ac:dyDescent="0.25">
      <c r="A113" s="3">
        <v>2</v>
      </c>
      <c r="B113" s="18">
        <f>D112/1000</f>
        <v>9.0456912344735958</v>
      </c>
      <c r="C113" s="16">
        <f>(1-B113/$C$80)</f>
        <v>0.58860095996992956</v>
      </c>
      <c r="D113" s="11">
        <f t="shared" si="1"/>
        <v>8011.7476546853477</v>
      </c>
    </row>
    <row r="114" spans="1:6" x14ac:dyDescent="0.25">
      <c r="A114" s="3">
        <v>3</v>
      </c>
      <c r="B114" s="18">
        <f>D113/1000</f>
        <v>8.0117476546853474</v>
      </c>
      <c r="C114" s="16">
        <f t="shared" si="0"/>
        <v>0.63562482858806879</v>
      </c>
      <c r="D114" s="11">
        <f t="shared" si="1"/>
        <v>8179.8819648926292</v>
      </c>
    </row>
    <row r="115" spans="1:6" x14ac:dyDescent="0.25">
      <c r="A115" s="3">
        <v>4</v>
      </c>
      <c r="B115" s="18">
        <f t="shared" ref="B115:B121" si="2">D114/1000</f>
        <v>8.1798819648926298</v>
      </c>
      <c r="C115" s="16">
        <f t="shared" si="0"/>
        <v>0.62797806152268598</v>
      </c>
      <c r="D115" s="11">
        <f t="shared" si="1"/>
        <v>8153.8009079430785</v>
      </c>
    </row>
    <row r="116" spans="1:6" x14ac:dyDescent="0.25">
      <c r="A116" s="3">
        <v>5</v>
      </c>
      <c r="B116" s="18">
        <f t="shared" si="2"/>
        <v>8.1538009079430793</v>
      </c>
      <c r="C116" s="16">
        <f t="shared" si="0"/>
        <v>0.62916423088375406</v>
      </c>
      <c r="D116" s="11">
        <f t="shared" si="1"/>
        <v>8157.8771595397147</v>
      </c>
    </row>
    <row r="117" spans="1:6" x14ac:dyDescent="0.25">
      <c r="A117" s="3">
        <v>6</v>
      </c>
      <c r="B117" s="18">
        <f t="shared" si="2"/>
        <v>8.1578771595397139</v>
      </c>
      <c r="C117" s="16">
        <f t="shared" si="0"/>
        <v>0.62897884250929958</v>
      </c>
      <c r="D117" s="11">
        <f t="shared" si="1"/>
        <v>8157.2408207579847</v>
      </c>
    </row>
    <row r="118" spans="1:6" x14ac:dyDescent="0.25">
      <c r="A118" s="3">
        <v>7</v>
      </c>
      <c r="B118" s="18">
        <f t="shared" si="2"/>
        <v>8.1572408207579841</v>
      </c>
      <c r="C118" s="16">
        <f t="shared" si="0"/>
        <v>0.62900778326762885</v>
      </c>
      <c r="D118" s="11">
        <f t="shared" si="1"/>
        <v>8157.3401770143482</v>
      </c>
    </row>
    <row r="119" spans="1:6" x14ac:dyDescent="0.25">
      <c r="A119" s="3">
        <v>8</v>
      </c>
      <c r="B119" s="18">
        <f t="shared" si="2"/>
        <v>8.1573401770143477</v>
      </c>
      <c r="C119" s="16">
        <f t="shared" si="0"/>
        <v>0.62900326453407607</v>
      </c>
      <c r="D119" s="11">
        <f t="shared" si="1"/>
        <v>8157.3246642338299</v>
      </c>
    </row>
    <row r="120" spans="1:6" x14ac:dyDescent="0.25">
      <c r="A120" s="3">
        <v>9</v>
      </c>
      <c r="B120" s="18">
        <f t="shared" si="2"/>
        <v>8.1573246642338297</v>
      </c>
      <c r="C120" s="16">
        <f t="shared" si="0"/>
        <v>0.62900397005705355</v>
      </c>
      <c r="D120" s="11">
        <f t="shared" si="1"/>
        <v>8157.3270863000471</v>
      </c>
    </row>
    <row r="121" spans="1:6" x14ac:dyDescent="0.25">
      <c r="A121" s="3">
        <v>10</v>
      </c>
      <c r="B121" s="18">
        <f t="shared" si="2"/>
        <v>8.1573270863000467</v>
      </c>
      <c r="C121" s="16">
        <f t="shared" si="0"/>
        <v>0.62900385990121355</v>
      </c>
      <c r="D121" s="11">
        <f t="shared" si="1"/>
        <v>8157.3267081344011</v>
      </c>
    </row>
    <row r="123" spans="1:6" x14ac:dyDescent="0.25">
      <c r="A123" s="30" t="s">
        <v>153</v>
      </c>
      <c r="B123" s="30"/>
      <c r="C123" s="31"/>
      <c r="D123" s="30">
        <f>D121/1000</f>
        <v>8.1573267081344003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918492.56006722979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560015.96439708944</v>
      </c>
      <c r="D128" s="3" t="s">
        <v>38</v>
      </c>
    </row>
    <row r="131" spans="1:4" ht="17.25" x14ac:dyDescent="0.3">
      <c r="B131" s="2" t="s">
        <v>91</v>
      </c>
      <c r="C131" s="16">
        <f>SQRT(C126/C128)</f>
        <v>1.280671124675701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660833.46093287552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10616.260938835865</v>
      </c>
    </row>
    <row r="139" spans="1:4" x14ac:dyDescent="0.25">
      <c r="A139" s="3">
        <v>2</v>
      </c>
      <c r="B139" s="18">
        <f>D138/1000</f>
        <v>10.616260938835865</v>
      </c>
      <c r="C139" s="16">
        <f t="shared" si="3"/>
        <v>0.51717127572285837</v>
      </c>
      <c r="D139" s="11">
        <f t="shared" si="4"/>
        <v>10205.857066249251</v>
      </c>
    </row>
    <row r="140" spans="1:4" x14ac:dyDescent="0.25">
      <c r="A140" s="3">
        <v>3</v>
      </c>
      <c r="B140" s="18">
        <f>D139/1000</f>
        <v>10.205857066249251</v>
      </c>
      <c r="C140" s="16">
        <f t="shared" si="3"/>
        <v>0.53583648934006634</v>
      </c>
      <c r="D140" s="11">
        <f t="shared" si="4"/>
        <v>10234.400739720726</v>
      </c>
    </row>
    <row r="141" spans="1:4" x14ac:dyDescent="0.25">
      <c r="A141" s="3">
        <v>4</v>
      </c>
      <c r="B141" s="18">
        <f>D140/1000</f>
        <v>10.234400739720726</v>
      </c>
      <c r="C141" s="16">
        <f t="shared" si="3"/>
        <v>0.53453831990660783</v>
      </c>
      <c r="D141" s="11">
        <f t="shared" si="4"/>
        <v>10232.475011293718</v>
      </c>
    </row>
    <row r="142" spans="1:4" x14ac:dyDescent="0.25">
      <c r="A142" s="3">
        <v>5</v>
      </c>
      <c r="B142" s="18">
        <f>D141/1000</f>
        <v>10.232475011293719</v>
      </c>
      <c r="C142" s="16">
        <f t="shared" si="3"/>
        <v>0.53462590224892903</v>
      </c>
      <c r="D142" s="11">
        <f t="shared" si="4"/>
        <v>10232.60520389577</v>
      </c>
    </row>
    <row r="143" spans="1:4" x14ac:dyDescent="0.25">
      <c r="A143" s="3">
        <v>6</v>
      </c>
      <c r="B143" s="18">
        <f>D142/1000</f>
        <v>10.232605203895769</v>
      </c>
      <c r="C143" s="16">
        <f t="shared" si="3"/>
        <v>0.53461998107495634</v>
      </c>
      <c r="D143" s="11">
        <f t="shared" si="4"/>
        <v>10232.596403212672</v>
      </c>
    </row>
    <row r="144" spans="1:4" ht="18.75" customHeight="1" x14ac:dyDescent="0.25">
      <c r="A144" s="3">
        <v>7</v>
      </c>
      <c r="B144" s="18">
        <f t="shared" ref="B144:B147" si="5">D143/1000</f>
        <v>10.232596403212671</v>
      </c>
      <c r="C144" s="16">
        <f t="shared" si="3"/>
        <v>0.53462038133099921</v>
      </c>
      <c r="D144" s="11">
        <f t="shared" si="4"/>
        <v>10232.596998121749</v>
      </c>
    </row>
    <row r="145" spans="1:5" x14ac:dyDescent="0.25">
      <c r="A145" s="3">
        <v>8</v>
      </c>
      <c r="B145" s="18">
        <f t="shared" si="5"/>
        <v>10.23259699812175</v>
      </c>
      <c r="C145" s="16">
        <f t="shared" si="3"/>
        <v>0.53462035427446841</v>
      </c>
      <c r="D145" s="11">
        <f t="shared" si="4"/>
        <v>10232.596957907077</v>
      </c>
    </row>
    <row r="146" spans="1:5" x14ac:dyDescent="0.25">
      <c r="A146" s="3">
        <v>9</v>
      </c>
      <c r="B146" s="18">
        <f t="shared" si="5"/>
        <v>10.232596957907077</v>
      </c>
      <c r="C146" s="16">
        <f t="shared" si="3"/>
        <v>0.53462035610343617</v>
      </c>
      <c r="D146" s="11">
        <f t="shared" si="4"/>
        <v>10232.596960625508</v>
      </c>
    </row>
    <row r="147" spans="1:5" x14ac:dyDescent="0.25">
      <c r="A147" s="3">
        <v>10</v>
      </c>
      <c r="B147" s="18">
        <f t="shared" si="5"/>
        <v>10.232596960625507</v>
      </c>
      <c r="C147" s="16">
        <f t="shared" si="3"/>
        <v>0.53462035597980173</v>
      </c>
      <c r="D147" s="11">
        <f t="shared" si="4"/>
        <v>10232.596960441748</v>
      </c>
    </row>
    <row r="149" spans="1:5" x14ac:dyDescent="0.25">
      <c r="A149" s="30" t="s">
        <v>152</v>
      </c>
      <c r="B149" s="30"/>
      <c r="C149" s="31"/>
      <c r="D149" s="30">
        <f>D147/1000</f>
        <v>10.232596960441748</v>
      </c>
      <c r="E149" s="30" t="s">
        <v>8</v>
      </c>
    </row>
    <row r="152" spans="1:5" ht="30" customHeight="1" x14ac:dyDescent="0.25">
      <c r="A152" s="63" t="s">
        <v>46</v>
      </c>
      <c r="B152" s="63">
        <f>MIN(D149,D123)</f>
        <v>8.1573267081344003</v>
      </c>
      <c r="C152" s="28">
        <f>IF(F123=TRUE,D149,MIN(D149,D123))</f>
        <v>8.1573267081344003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Input-Output Screen</vt:lpstr>
      <vt:lpstr>Sheet7</vt:lpstr>
      <vt:lpstr>DSM-AS4600 (SA, 2005)-Ambient</vt:lpstr>
      <vt:lpstr>DSM -Temp (Sheet 1) </vt:lpstr>
      <vt:lpstr>DSM -Temp (Sheet 2)</vt:lpstr>
      <vt:lpstr>DSM -Temp (Sheet 3)</vt:lpstr>
      <vt:lpstr>DSM -Temp (Sheet 4)</vt:lpstr>
      <vt:lpstr>DSM -Temp (Sheet 5)</vt:lpstr>
      <vt:lpstr>DSM -Temp (Sheet 6)</vt:lpstr>
      <vt:lpstr>DSM -Temp (Sheet 7)</vt:lpstr>
      <vt:lpstr>DSM -Temp (Sheet 8)</vt:lpstr>
      <vt:lpstr>DSM -Temp (Sheet 9)</vt:lpstr>
      <vt:lpstr>DSM -Temp (Sheet 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2020-03-22T10:02:15Z</dcterms:modified>
</cp:coreProperties>
</file>