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71D10260-C71D-4272-BB5F-08D7D65A85E8}" xr6:coauthVersionLast="45" xr6:coauthVersionMax="45" xr10:uidLastSave="{00000000-0000-0000-0000-000000000000}"/>
  <bookViews>
    <workbookView xWindow="28680" yWindow="-120" windowWidth="29040" windowHeight="15840" tabRatio="900" xr2:uid="{00000000-000D-0000-FFFF-FFFF00000000}"/>
  </bookViews>
  <sheets>
    <sheet name="Input-Output Screen" sheetId="9" r:id="rId1"/>
    <sheet name="Sheet7" sheetId="16" r:id="rId2"/>
    <sheet name="DSM-AS4600 (SA, 2005)-Ambient" sheetId="8" r:id="rId3"/>
    <sheet name="DSM -Temp (Sheet 1) " sheetId="7" r:id="rId4"/>
    <sheet name="DSM -Temp (Sheet 2)" sheetId="10" r:id="rId5"/>
    <sheet name="DSM -Temp (Sheet 3)" sheetId="11" r:id="rId6"/>
    <sheet name="DSM -Temp (Sheet 4)" sheetId="12" r:id="rId7"/>
    <sheet name="DSM -Temp (Sheet 5)" sheetId="13" r:id="rId8"/>
    <sheet name="DSM -Temp (Sheet 6)" sheetId="14" r:id="rId9"/>
    <sheet name="DSM -Temp (Sheet 7)" sheetId="17" r:id="rId10"/>
    <sheet name="DSM -Temp (Sheet 8)" sheetId="1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9" l="1"/>
  <c r="C14" i="17" l="1"/>
  <c r="C13" i="17"/>
  <c r="C13" i="19"/>
  <c r="C14" i="19"/>
  <c r="C2" i="19"/>
  <c r="C2" i="17"/>
  <c r="C56" i="19"/>
  <c r="C25" i="19"/>
  <c r="C22" i="19"/>
  <c r="C18" i="19"/>
  <c r="C17" i="19"/>
  <c r="C12" i="19"/>
  <c r="C11" i="19"/>
  <c r="C94" i="19" s="1"/>
  <c r="C10" i="19"/>
  <c r="C9" i="19"/>
  <c r="C8" i="19"/>
  <c r="C6" i="19"/>
  <c r="C5" i="19"/>
  <c r="C56" i="17"/>
  <c r="C25" i="17"/>
  <c r="C22" i="17"/>
  <c r="C18" i="17"/>
  <c r="C17" i="17"/>
  <c r="C12" i="17"/>
  <c r="C11" i="17"/>
  <c r="C94" i="17" s="1"/>
  <c r="C10" i="17"/>
  <c r="C9" i="17"/>
  <c r="C8" i="17"/>
  <c r="C6" i="17"/>
  <c r="C5" i="17"/>
  <c r="C29" i="17" l="1"/>
  <c r="C35" i="17" s="1"/>
  <c r="C29" i="19"/>
  <c r="C35" i="19" s="1"/>
  <c r="C45" i="17"/>
  <c r="C45" i="19"/>
  <c r="C44" i="19"/>
  <c r="C44" i="17"/>
  <c r="C30" i="17"/>
  <c r="C46" i="17" s="1"/>
  <c r="C39" i="17"/>
  <c r="C55" i="17" s="1"/>
  <c r="C30" i="19"/>
  <c r="C39" i="19"/>
  <c r="C33" i="19"/>
  <c r="C34" i="19" s="1"/>
  <c r="C40" i="19"/>
  <c r="C33" i="17"/>
  <c r="C34" i="17" s="1"/>
  <c r="C40" i="17"/>
  <c r="C51" i="17" l="1"/>
  <c r="C52" i="17" s="1"/>
  <c r="C47" i="17"/>
  <c r="C79" i="17" s="1"/>
  <c r="C41" i="17"/>
  <c r="C102" i="17" s="1"/>
  <c r="C128" i="17" s="1"/>
  <c r="C55" i="19"/>
  <c r="C46" i="19"/>
  <c r="C41" i="19"/>
  <c r="C51" i="19"/>
  <c r="C52" i="19" s="1"/>
  <c r="C58" i="19"/>
  <c r="C57" i="19"/>
  <c r="C58" i="17"/>
  <c r="C57" i="17"/>
  <c r="C81" i="17" l="1"/>
  <c r="C59" i="17"/>
  <c r="C42" i="17"/>
  <c r="C60" i="17" s="1"/>
  <c r="C59" i="19"/>
  <c r="C102" i="19"/>
  <c r="C128" i="19" s="1"/>
  <c r="C47" i="19"/>
  <c r="C79" i="19" s="1"/>
  <c r="C42" i="19"/>
  <c r="C81" i="19"/>
  <c r="C60" i="19" l="1"/>
  <c r="C72" i="19" s="1"/>
  <c r="C71" i="19"/>
  <c r="C70" i="19"/>
  <c r="C69" i="19"/>
  <c r="C95" i="17"/>
  <c r="C61" i="17"/>
  <c r="C69" i="17"/>
  <c r="C70" i="17"/>
  <c r="C73" i="17"/>
  <c r="C72" i="17"/>
  <c r="C71" i="17"/>
  <c r="C61" i="19" l="1"/>
  <c r="C95" i="19"/>
  <c r="C73" i="19"/>
  <c r="C75" i="19" s="1"/>
  <c r="C75" i="17"/>
  <c r="C80" i="17" s="1"/>
  <c r="C64" i="19"/>
  <c r="C63" i="19"/>
  <c r="C64" i="17"/>
  <c r="C63" i="17"/>
  <c r="C97" i="17" l="1"/>
  <c r="C100" i="17" s="1"/>
  <c r="C105" i="17" s="1"/>
  <c r="C106" i="17" s="1"/>
  <c r="C80" i="19"/>
  <c r="C97" i="19"/>
  <c r="C112" i="17"/>
  <c r="C138" i="17"/>
  <c r="C84" i="17"/>
  <c r="C85" i="17" s="1"/>
  <c r="C126" i="17" l="1"/>
  <c r="C131" i="17" s="1"/>
  <c r="C132" i="17" s="1"/>
  <c r="C126" i="19"/>
  <c r="C131" i="19" s="1"/>
  <c r="C132" i="19" s="1"/>
  <c r="C100" i="19"/>
  <c r="C105" i="19" s="1"/>
  <c r="C106" i="19" s="1"/>
  <c r="C112" i="19"/>
  <c r="C138" i="19"/>
  <c r="C84" i="19"/>
  <c r="C85" i="19" s="1"/>
  <c r="C88" i="17"/>
  <c r="C89" i="17" s="1"/>
  <c r="C91" i="17" s="1"/>
  <c r="C88" i="19" l="1"/>
  <c r="C89" i="19" s="1"/>
  <c r="C91" i="19" s="1"/>
  <c r="D138" i="17"/>
  <c r="B139" i="17" s="1"/>
  <c r="C139" i="17" s="1"/>
  <c r="D139" i="17" s="1"/>
  <c r="B140" i="17" s="1"/>
  <c r="C140" i="17" s="1"/>
  <c r="D140" i="17" s="1"/>
  <c r="B141" i="17" s="1"/>
  <c r="C141" i="17" s="1"/>
  <c r="D141" i="17" s="1"/>
  <c r="B142" i="17" s="1"/>
  <c r="C142" i="17" s="1"/>
  <c r="D142" i="17" s="1"/>
  <c r="B143" i="17" s="1"/>
  <c r="C143" i="17" s="1"/>
  <c r="D143" i="17" s="1"/>
  <c r="B144" i="17" s="1"/>
  <c r="C144" i="17" s="1"/>
  <c r="D144" i="17" s="1"/>
  <c r="B145" i="17" s="1"/>
  <c r="C145" i="17" s="1"/>
  <c r="D145" i="17" s="1"/>
  <c r="B146" i="17" s="1"/>
  <c r="C146" i="17" s="1"/>
  <c r="D146" i="17" s="1"/>
  <c r="B147" i="17" s="1"/>
  <c r="C147" i="17" s="1"/>
  <c r="D147" i="17" s="1"/>
  <c r="D149" i="17" s="1"/>
  <c r="D112" i="17"/>
  <c r="B113" i="17" s="1"/>
  <c r="C113" i="17" s="1"/>
  <c r="D113" i="17" s="1"/>
  <c r="B114" i="17" s="1"/>
  <c r="C114" i="17" s="1"/>
  <c r="D114" i="17" s="1"/>
  <c r="B115" i="17" s="1"/>
  <c r="C115" i="17" s="1"/>
  <c r="D115" i="17" s="1"/>
  <c r="B116" i="17" s="1"/>
  <c r="C116" i="17" s="1"/>
  <c r="D116" i="17" s="1"/>
  <c r="B117" i="17" s="1"/>
  <c r="C117" i="17" s="1"/>
  <c r="D117" i="17" s="1"/>
  <c r="B118" i="17" s="1"/>
  <c r="C118" i="17" s="1"/>
  <c r="D118" i="17" s="1"/>
  <c r="B119" i="17" s="1"/>
  <c r="C119" i="17" s="1"/>
  <c r="D119" i="17" s="1"/>
  <c r="B120" i="17" s="1"/>
  <c r="C120" i="17" s="1"/>
  <c r="D120" i="17" s="1"/>
  <c r="B121" i="17" s="1"/>
  <c r="C121" i="17" s="1"/>
  <c r="D121" i="17" s="1"/>
  <c r="D123" i="17" s="1"/>
  <c r="F123" i="17" s="1"/>
  <c r="C152" i="17" l="1"/>
  <c r="I13" i="9" s="1"/>
  <c r="D112" i="19"/>
  <c r="B113" i="19" s="1"/>
  <c r="C113" i="19" s="1"/>
  <c r="D113" i="19" s="1"/>
  <c r="B114" i="19" s="1"/>
  <c r="C114" i="19" s="1"/>
  <c r="D114" i="19" s="1"/>
  <c r="B115" i="19" s="1"/>
  <c r="C115" i="19" s="1"/>
  <c r="D115" i="19" s="1"/>
  <c r="B116" i="19" s="1"/>
  <c r="C116" i="19" s="1"/>
  <c r="D116" i="19" s="1"/>
  <c r="B117" i="19" s="1"/>
  <c r="C117" i="19" s="1"/>
  <c r="D117" i="19" s="1"/>
  <c r="B118" i="19" s="1"/>
  <c r="C118" i="19" s="1"/>
  <c r="D118" i="19" s="1"/>
  <c r="B119" i="19" s="1"/>
  <c r="C119" i="19" s="1"/>
  <c r="D119" i="19" s="1"/>
  <c r="B120" i="19" s="1"/>
  <c r="C120" i="19" s="1"/>
  <c r="D120" i="19" s="1"/>
  <c r="B121" i="19" s="1"/>
  <c r="C121" i="19" s="1"/>
  <c r="D121" i="19" s="1"/>
  <c r="D123" i="19" s="1"/>
  <c r="F123" i="19" s="1"/>
  <c r="D138" i="19"/>
  <c r="B139" i="19" s="1"/>
  <c r="C139" i="19" s="1"/>
  <c r="D139" i="19" s="1"/>
  <c r="B140" i="19" s="1"/>
  <c r="C140" i="19" s="1"/>
  <c r="D140" i="19" s="1"/>
  <c r="B141" i="19" s="1"/>
  <c r="C141" i="19" s="1"/>
  <c r="D141" i="19" s="1"/>
  <c r="B142" i="19" s="1"/>
  <c r="C142" i="19" s="1"/>
  <c r="D142" i="19" s="1"/>
  <c r="B143" i="19" s="1"/>
  <c r="C143" i="19" s="1"/>
  <c r="D143" i="19" s="1"/>
  <c r="B144" i="19" s="1"/>
  <c r="C144" i="19" s="1"/>
  <c r="D144" i="19" s="1"/>
  <c r="B145" i="19" s="1"/>
  <c r="C145" i="19" s="1"/>
  <c r="D145" i="19" s="1"/>
  <c r="B146" i="19" s="1"/>
  <c r="C146" i="19" s="1"/>
  <c r="D146" i="19" s="1"/>
  <c r="B147" i="19" s="1"/>
  <c r="C147" i="19" s="1"/>
  <c r="D147" i="19" s="1"/>
  <c r="D149" i="19" s="1"/>
  <c r="B152" i="17"/>
  <c r="B152" i="19" l="1"/>
  <c r="C152" i="19"/>
  <c r="I14" i="9" s="1"/>
  <c r="Q12" i="9" l="1"/>
  <c r="Q11" i="9"/>
  <c r="C2" i="14"/>
  <c r="C2" i="13"/>
  <c r="C2" i="12"/>
  <c r="C2" i="11"/>
  <c r="C2" i="10"/>
  <c r="C14" i="14"/>
  <c r="C13" i="14"/>
  <c r="C14" i="13"/>
  <c r="C13" i="13"/>
  <c r="C14" i="12"/>
  <c r="C13" i="12"/>
  <c r="C14" i="11"/>
  <c r="C13" i="11"/>
  <c r="C56" i="14"/>
  <c r="C25" i="14"/>
  <c r="C22" i="14"/>
  <c r="C18" i="14"/>
  <c r="C17" i="14"/>
  <c r="C12" i="14"/>
  <c r="C11" i="14"/>
  <c r="C10" i="14"/>
  <c r="C9" i="14"/>
  <c r="C8" i="14"/>
  <c r="C6" i="14"/>
  <c r="C5" i="14"/>
  <c r="C56" i="13"/>
  <c r="C25" i="13"/>
  <c r="C22" i="13"/>
  <c r="C18" i="13"/>
  <c r="C17" i="13"/>
  <c r="C12" i="13"/>
  <c r="C11" i="13"/>
  <c r="C10" i="13"/>
  <c r="C9" i="13"/>
  <c r="C8" i="13"/>
  <c r="C6" i="13"/>
  <c r="C5" i="13"/>
  <c r="C56" i="12"/>
  <c r="C25" i="12"/>
  <c r="C22" i="12"/>
  <c r="C18" i="12"/>
  <c r="C17" i="12"/>
  <c r="C12" i="12"/>
  <c r="C11" i="12"/>
  <c r="C94" i="12" s="1"/>
  <c r="C10" i="12"/>
  <c r="C9" i="12"/>
  <c r="C8" i="12"/>
  <c r="C6" i="12"/>
  <c r="C5" i="12"/>
  <c r="C56" i="11"/>
  <c r="C25" i="11"/>
  <c r="C22" i="11"/>
  <c r="C18" i="11"/>
  <c r="C17" i="11"/>
  <c r="C12" i="11"/>
  <c r="C11" i="11"/>
  <c r="C94" i="11" s="1"/>
  <c r="C10" i="11"/>
  <c r="C9" i="11"/>
  <c r="C8" i="11"/>
  <c r="C6" i="11"/>
  <c r="C5" i="11"/>
  <c r="C14" i="10"/>
  <c r="C13" i="10"/>
  <c r="C56" i="10"/>
  <c r="C25" i="10"/>
  <c r="C22" i="10"/>
  <c r="C18" i="10"/>
  <c r="C17" i="10"/>
  <c r="C12" i="10"/>
  <c r="C11" i="10"/>
  <c r="C10" i="10"/>
  <c r="C9" i="10"/>
  <c r="C8" i="10"/>
  <c r="C6" i="10"/>
  <c r="C5" i="10"/>
  <c r="C45" i="12" l="1"/>
  <c r="C29" i="10"/>
  <c r="C35" i="10" s="1"/>
  <c r="C33" i="13"/>
  <c r="C34" i="13" s="1"/>
  <c r="C39" i="11"/>
  <c r="C55" i="11" s="1"/>
  <c r="C44" i="13"/>
  <c r="C45" i="11"/>
  <c r="C45" i="13"/>
  <c r="C29" i="11"/>
  <c r="C29" i="12"/>
  <c r="C35" i="12" s="1"/>
  <c r="C29" i="13"/>
  <c r="C35" i="13" s="1"/>
  <c r="C29" i="14"/>
  <c r="C35" i="14" s="1"/>
  <c r="C45" i="14"/>
  <c r="C33" i="10"/>
  <c r="C34" i="10" s="1"/>
  <c r="C44" i="10"/>
  <c r="C45" i="10"/>
  <c r="C39" i="12"/>
  <c r="C55" i="12" s="1"/>
  <c r="C44" i="14"/>
  <c r="C40" i="10"/>
  <c r="C57" i="10" s="1"/>
  <c r="C44" i="11"/>
  <c r="C40" i="14"/>
  <c r="C57" i="14" s="1"/>
  <c r="C40" i="13"/>
  <c r="C58" i="13" s="1"/>
  <c r="C30" i="12"/>
  <c r="C46" i="12" s="1"/>
  <c r="C44" i="12"/>
  <c r="C30" i="14"/>
  <c r="C39" i="14"/>
  <c r="C33" i="14"/>
  <c r="C34" i="14" s="1"/>
  <c r="C94" i="14"/>
  <c r="C30" i="13"/>
  <c r="C39" i="13"/>
  <c r="C94" i="13"/>
  <c r="C33" i="12"/>
  <c r="C34" i="12" s="1"/>
  <c r="C40" i="12"/>
  <c r="C35" i="11"/>
  <c r="C30" i="11"/>
  <c r="C33" i="11"/>
  <c r="C34" i="11" s="1"/>
  <c r="C40" i="11"/>
  <c r="C58" i="10"/>
  <c r="C30" i="10"/>
  <c r="C39" i="10"/>
  <c r="C94" i="10"/>
  <c r="C10" i="8"/>
  <c r="C47" i="12" l="1"/>
  <c r="C79" i="12" s="1"/>
  <c r="C51" i="12"/>
  <c r="C52" i="12" s="1"/>
  <c r="C41" i="12"/>
  <c r="C42" i="12" s="1"/>
  <c r="C58" i="14"/>
  <c r="C57" i="13"/>
  <c r="C46" i="14"/>
  <c r="C41" i="14"/>
  <c r="C42" i="14" s="1"/>
  <c r="C51" i="14"/>
  <c r="C52" i="14" s="1"/>
  <c r="C55" i="14"/>
  <c r="C55" i="13"/>
  <c r="C46" i="13"/>
  <c r="C41" i="13"/>
  <c r="C51" i="13"/>
  <c r="C52" i="13" s="1"/>
  <c r="C58" i="12"/>
  <c r="C57" i="12"/>
  <c r="C58" i="11"/>
  <c r="C57" i="11"/>
  <c r="C51" i="11"/>
  <c r="C52" i="11" s="1"/>
  <c r="C41" i="11"/>
  <c r="C46" i="11"/>
  <c r="C55" i="10"/>
  <c r="C46" i="10"/>
  <c r="C41" i="10"/>
  <c r="C42" i="10" s="1"/>
  <c r="C51" i="10"/>
  <c r="C52" i="10" s="1"/>
  <c r="C21" i="8"/>
  <c r="C81" i="12" l="1"/>
  <c r="C102" i="12"/>
  <c r="C128" i="12" s="1"/>
  <c r="C59" i="12"/>
  <c r="C60" i="12"/>
  <c r="C71" i="12" s="1"/>
  <c r="C59" i="14"/>
  <c r="C60" i="14" s="1"/>
  <c r="C102" i="14"/>
  <c r="C128" i="14" s="1"/>
  <c r="C47" i="14"/>
  <c r="C79" i="14" s="1"/>
  <c r="C81" i="14"/>
  <c r="C59" i="13"/>
  <c r="C102" i="13"/>
  <c r="C128" i="13" s="1"/>
  <c r="C47" i="13"/>
  <c r="C79" i="13" s="1"/>
  <c r="C42" i="13"/>
  <c r="C81" i="13"/>
  <c r="C59" i="11"/>
  <c r="C47" i="11"/>
  <c r="C79" i="11" s="1"/>
  <c r="C42" i="11"/>
  <c r="C81" i="11"/>
  <c r="C102" i="11"/>
  <c r="C128" i="11" s="1"/>
  <c r="C59" i="10"/>
  <c r="C60" i="10" s="1"/>
  <c r="C102" i="10"/>
  <c r="C128" i="10" s="1"/>
  <c r="C47" i="10"/>
  <c r="C79" i="10" s="1"/>
  <c r="C81" i="10"/>
  <c r="C56" i="7"/>
  <c r="C61" i="12" l="1"/>
  <c r="C63" i="12" s="1"/>
  <c r="C70" i="12"/>
  <c r="C60" i="13"/>
  <c r="C95" i="13" s="1"/>
  <c r="C72" i="12"/>
  <c r="C95" i="12"/>
  <c r="C60" i="11"/>
  <c r="C95" i="11" s="1"/>
  <c r="C69" i="12"/>
  <c r="C73" i="12"/>
  <c r="C95" i="14"/>
  <c r="C61" i="14"/>
  <c r="C72" i="14"/>
  <c r="C71" i="14"/>
  <c r="C70" i="14"/>
  <c r="C69" i="14"/>
  <c r="C73" i="14"/>
  <c r="C64" i="12"/>
  <c r="C95" i="10"/>
  <c r="C61" i="10"/>
  <c r="C72" i="10"/>
  <c r="C71" i="10"/>
  <c r="C70" i="10"/>
  <c r="C69" i="10"/>
  <c r="C73" i="10"/>
  <c r="I16" i="9"/>
  <c r="C14" i="7"/>
  <c r="C13" i="7"/>
  <c r="C71" i="11" l="1"/>
  <c r="C71" i="13"/>
  <c r="C73" i="13"/>
  <c r="C72" i="13"/>
  <c r="C61" i="11"/>
  <c r="C64" i="11" s="1"/>
  <c r="C70" i="13"/>
  <c r="C61" i="13"/>
  <c r="C63" i="13" s="1"/>
  <c r="C69" i="13"/>
  <c r="C75" i="12"/>
  <c r="C80" i="12" s="1"/>
  <c r="C73" i="11"/>
  <c r="C70" i="11"/>
  <c r="C69" i="11"/>
  <c r="C72" i="11"/>
  <c r="C75" i="14"/>
  <c r="C64" i="14"/>
  <c r="C63" i="14"/>
  <c r="C64" i="10"/>
  <c r="C63" i="10"/>
  <c r="C75" i="10"/>
  <c r="C97" i="12" l="1"/>
  <c r="C64" i="13"/>
  <c r="C75" i="11"/>
  <c r="C97" i="11" s="1"/>
  <c r="C75" i="13"/>
  <c r="C97" i="13" s="1"/>
  <c r="C63" i="11"/>
  <c r="C80" i="14"/>
  <c r="C97" i="14"/>
  <c r="C126" i="12"/>
  <c r="C131" i="12" s="1"/>
  <c r="C132" i="12" s="1"/>
  <c r="C100" i="12"/>
  <c r="C105" i="12" s="1"/>
  <c r="C106" i="12" s="1"/>
  <c r="C112" i="12"/>
  <c r="C138" i="12"/>
  <c r="C84" i="12"/>
  <c r="C85" i="12" s="1"/>
  <c r="C80" i="10"/>
  <c r="C97" i="10"/>
  <c r="C20" i="8"/>
  <c r="C17" i="8"/>
  <c r="C16" i="8"/>
  <c r="C13" i="8"/>
  <c r="C12" i="8"/>
  <c r="C11" i="8"/>
  <c r="C9" i="8"/>
  <c r="C41" i="8" l="1"/>
  <c r="C80" i="11"/>
  <c r="C84" i="11" s="1"/>
  <c r="C85" i="11" s="1"/>
  <c r="C80" i="13"/>
  <c r="C84" i="13" s="1"/>
  <c r="C85" i="13" s="1"/>
  <c r="C100" i="14"/>
  <c r="C105" i="14" s="1"/>
  <c r="C106" i="14" s="1"/>
  <c r="C126" i="14"/>
  <c r="C131" i="14" s="1"/>
  <c r="C132" i="14" s="1"/>
  <c r="C112" i="14"/>
  <c r="C138" i="14"/>
  <c r="C84" i="14"/>
  <c r="C85" i="14" s="1"/>
  <c r="C100" i="13"/>
  <c r="C105" i="13" s="1"/>
  <c r="C106" i="13" s="1"/>
  <c r="C126" i="13"/>
  <c r="C131" i="13" s="1"/>
  <c r="C132" i="13" s="1"/>
  <c r="C112" i="13"/>
  <c r="C138" i="13"/>
  <c r="C88" i="12"/>
  <c r="C89" i="12" s="1"/>
  <c r="C91" i="12" s="1"/>
  <c r="C100" i="11"/>
  <c r="C105" i="11" s="1"/>
  <c r="C106" i="11" s="1"/>
  <c r="C126" i="11"/>
  <c r="C131" i="11" s="1"/>
  <c r="C132" i="11" s="1"/>
  <c r="C100" i="10"/>
  <c r="C105" i="10" s="1"/>
  <c r="C106" i="10" s="1"/>
  <c r="C126" i="10"/>
  <c r="C131" i="10" s="1"/>
  <c r="C132" i="10" s="1"/>
  <c r="C112" i="10"/>
  <c r="C138" i="10"/>
  <c r="C84" i="10"/>
  <c r="C85" i="10" s="1"/>
  <c r="C35" i="8"/>
  <c r="C112" i="11" l="1"/>
  <c r="C138" i="11"/>
  <c r="F42" i="8"/>
  <c r="C88" i="14"/>
  <c r="C89" i="14" s="1"/>
  <c r="C91" i="14" s="1"/>
  <c r="C88" i="13"/>
  <c r="C89" i="13" s="1"/>
  <c r="C91" i="13" s="1"/>
  <c r="D112" i="12"/>
  <c r="B113" i="12" s="1"/>
  <c r="C113" i="12" s="1"/>
  <c r="D113" i="12" s="1"/>
  <c r="B114" i="12" s="1"/>
  <c r="C114" i="12" s="1"/>
  <c r="D114" i="12" s="1"/>
  <c r="B115" i="12" s="1"/>
  <c r="C115" i="12" s="1"/>
  <c r="D115" i="12" s="1"/>
  <c r="B116" i="12" s="1"/>
  <c r="C116" i="12" s="1"/>
  <c r="D116" i="12" s="1"/>
  <c r="B117" i="12" s="1"/>
  <c r="C117" i="12" s="1"/>
  <c r="D117" i="12" s="1"/>
  <c r="B118" i="12" s="1"/>
  <c r="C118" i="12" s="1"/>
  <c r="D118" i="12" s="1"/>
  <c r="B119" i="12" s="1"/>
  <c r="C119" i="12" s="1"/>
  <c r="D119" i="12" s="1"/>
  <c r="B120" i="12" s="1"/>
  <c r="C120" i="12" s="1"/>
  <c r="D120" i="12" s="1"/>
  <c r="B121" i="12" s="1"/>
  <c r="C121" i="12" s="1"/>
  <c r="D121" i="12" s="1"/>
  <c r="D123" i="12" s="1"/>
  <c r="F123" i="12" s="1"/>
  <c r="D138" i="12"/>
  <c r="B139" i="12" s="1"/>
  <c r="C139" i="12" s="1"/>
  <c r="D139" i="12" s="1"/>
  <c r="B140" i="12" s="1"/>
  <c r="C140" i="12" s="1"/>
  <c r="D140" i="12" s="1"/>
  <c r="B141" i="12" s="1"/>
  <c r="C141" i="12" s="1"/>
  <c r="D141" i="12" s="1"/>
  <c r="B142" i="12" s="1"/>
  <c r="C142" i="12" s="1"/>
  <c r="D142" i="12" s="1"/>
  <c r="B143" i="12" s="1"/>
  <c r="C143" i="12" s="1"/>
  <c r="D143" i="12" s="1"/>
  <c r="B144" i="12" s="1"/>
  <c r="C144" i="12" s="1"/>
  <c r="D144" i="12" s="1"/>
  <c r="B145" i="12" s="1"/>
  <c r="C145" i="12" s="1"/>
  <c r="D145" i="12" s="1"/>
  <c r="B146" i="12" s="1"/>
  <c r="C146" i="12" s="1"/>
  <c r="D146" i="12" s="1"/>
  <c r="B147" i="12" s="1"/>
  <c r="C147" i="12" s="1"/>
  <c r="D147" i="12" s="1"/>
  <c r="D149" i="12" s="1"/>
  <c r="C88" i="11"/>
  <c r="C89" i="11" s="1"/>
  <c r="C91" i="11" s="1"/>
  <c r="C88" i="10"/>
  <c r="C89" i="10" s="1"/>
  <c r="C91" i="10" s="1"/>
  <c r="C2" i="7"/>
  <c r="C25" i="7"/>
  <c r="C22" i="7"/>
  <c r="C18" i="7"/>
  <c r="C17" i="7"/>
  <c r="C12" i="7"/>
  <c r="C11" i="7"/>
  <c r="C10" i="7"/>
  <c r="C9" i="7"/>
  <c r="C8" i="7"/>
  <c r="C6" i="7"/>
  <c r="C5" i="7"/>
  <c r="C152" i="12" l="1"/>
  <c r="I10" i="9" s="1"/>
  <c r="B152" i="12"/>
  <c r="D112" i="14"/>
  <c r="B113" i="14" s="1"/>
  <c r="C113" i="14" s="1"/>
  <c r="D113" i="14" s="1"/>
  <c r="B114" i="14" s="1"/>
  <c r="C114" i="14" s="1"/>
  <c r="D114" i="14" s="1"/>
  <c r="B115" i="14" s="1"/>
  <c r="C115" i="14" s="1"/>
  <c r="D115" i="14" s="1"/>
  <c r="B116" i="14" s="1"/>
  <c r="C116" i="14" s="1"/>
  <c r="D116" i="14" s="1"/>
  <c r="B117" i="14" s="1"/>
  <c r="C117" i="14" s="1"/>
  <c r="D117" i="14" s="1"/>
  <c r="B118" i="14" s="1"/>
  <c r="C118" i="14" s="1"/>
  <c r="D118" i="14" s="1"/>
  <c r="B119" i="14" s="1"/>
  <c r="C119" i="14" s="1"/>
  <c r="D119" i="14" s="1"/>
  <c r="B120" i="14" s="1"/>
  <c r="C120" i="14" s="1"/>
  <c r="D120" i="14" s="1"/>
  <c r="B121" i="14" s="1"/>
  <c r="C121" i="14" s="1"/>
  <c r="D121" i="14" s="1"/>
  <c r="D123" i="14" s="1"/>
  <c r="F123" i="14" s="1"/>
  <c r="D138" i="14"/>
  <c r="B139" i="14" s="1"/>
  <c r="C139" i="14" s="1"/>
  <c r="D139" i="14" s="1"/>
  <c r="B140" i="14" s="1"/>
  <c r="C140" i="14" s="1"/>
  <c r="D140" i="14" s="1"/>
  <c r="B141" i="14" s="1"/>
  <c r="C141" i="14" s="1"/>
  <c r="D141" i="14" s="1"/>
  <c r="B142" i="14" s="1"/>
  <c r="C142" i="14" s="1"/>
  <c r="D142" i="14" s="1"/>
  <c r="B143" i="14" s="1"/>
  <c r="C143" i="14" s="1"/>
  <c r="D143" i="14" s="1"/>
  <c r="B144" i="14" s="1"/>
  <c r="C144" i="14" s="1"/>
  <c r="D144" i="14" s="1"/>
  <c r="B145" i="14" s="1"/>
  <c r="C145" i="14" s="1"/>
  <c r="D145" i="14" s="1"/>
  <c r="B146" i="14" s="1"/>
  <c r="C146" i="14" s="1"/>
  <c r="D146" i="14" s="1"/>
  <c r="B147" i="14" s="1"/>
  <c r="C147" i="14" s="1"/>
  <c r="D147" i="14" s="1"/>
  <c r="D149" i="14" s="1"/>
  <c r="D112" i="13"/>
  <c r="B113" i="13" s="1"/>
  <c r="C113" i="13" s="1"/>
  <c r="D113" i="13" s="1"/>
  <c r="B114" i="13" s="1"/>
  <c r="C114" i="13" s="1"/>
  <c r="D114" i="13" s="1"/>
  <c r="B115" i="13" s="1"/>
  <c r="C115" i="13" s="1"/>
  <c r="D115" i="13" s="1"/>
  <c r="B116" i="13" s="1"/>
  <c r="C116" i="13" s="1"/>
  <c r="D116" i="13" s="1"/>
  <c r="B117" i="13" s="1"/>
  <c r="C117" i="13" s="1"/>
  <c r="D117" i="13" s="1"/>
  <c r="B118" i="13" s="1"/>
  <c r="C118" i="13" s="1"/>
  <c r="D118" i="13" s="1"/>
  <c r="B119" i="13" s="1"/>
  <c r="C119" i="13" s="1"/>
  <c r="D119" i="13" s="1"/>
  <c r="B120" i="13" s="1"/>
  <c r="C120" i="13" s="1"/>
  <c r="D120" i="13" s="1"/>
  <c r="B121" i="13" s="1"/>
  <c r="C121" i="13" s="1"/>
  <c r="D121" i="13" s="1"/>
  <c r="D123" i="13" s="1"/>
  <c r="F123" i="13" s="1"/>
  <c r="D138" i="13"/>
  <c r="B139" i="13" s="1"/>
  <c r="C139" i="13" s="1"/>
  <c r="D139" i="13" s="1"/>
  <c r="B140" i="13" s="1"/>
  <c r="C140" i="13" s="1"/>
  <c r="D140" i="13" s="1"/>
  <c r="B141" i="13" s="1"/>
  <c r="C141" i="13" s="1"/>
  <c r="D141" i="13" s="1"/>
  <c r="B142" i="13" s="1"/>
  <c r="C142" i="13" s="1"/>
  <c r="D142" i="13" s="1"/>
  <c r="B143" i="13" s="1"/>
  <c r="C143" i="13" s="1"/>
  <c r="D143" i="13" s="1"/>
  <c r="B144" i="13" s="1"/>
  <c r="C144" i="13" s="1"/>
  <c r="D144" i="13" s="1"/>
  <c r="B145" i="13" s="1"/>
  <c r="C145" i="13" s="1"/>
  <c r="D145" i="13" s="1"/>
  <c r="B146" i="13" s="1"/>
  <c r="C146" i="13" s="1"/>
  <c r="D146" i="13" s="1"/>
  <c r="B147" i="13" s="1"/>
  <c r="C147" i="13" s="1"/>
  <c r="D147" i="13" s="1"/>
  <c r="D149" i="13" s="1"/>
  <c r="D112" i="11"/>
  <c r="B113" i="11" s="1"/>
  <c r="C113" i="11" s="1"/>
  <c r="D113" i="11" s="1"/>
  <c r="B114" i="11" s="1"/>
  <c r="C114" i="11" s="1"/>
  <c r="D114" i="11" s="1"/>
  <c r="B115" i="11" s="1"/>
  <c r="C115" i="11" s="1"/>
  <c r="D115" i="11" s="1"/>
  <c r="B116" i="11" s="1"/>
  <c r="C116" i="11" s="1"/>
  <c r="D116" i="11" s="1"/>
  <c r="B117" i="11" s="1"/>
  <c r="C117" i="11" s="1"/>
  <c r="D117" i="11" s="1"/>
  <c r="B118" i="11" s="1"/>
  <c r="C118" i="11" s="1"/>
  <c r="D118" i="11" s="1"/>
  <c r="B119" i="11" s="1"/>
  <c r="C119" i="11" s="1"/>
  <c r="D119" i="11" s="1"/>
  <c r="B120" i="11" s="1"/>
  <c r="C120" i="11" s="1"/>
  <c r="D120" i="11" s="1"/>
  <c r="B121" i="11" s="1"/>
  <c r="C121" i="11" s="1"/>
  <c r="D121" i="11" s="1"/>
  <c r="D123" i="11" s="1"/>
  <c r="F123" i="11" s="1"/>
  <c r="D138" i="11"/>
  <c r="B139" i="11" s="1"/>
  <c r="C139" i="11" s="1"/>
  <c r="D139" i="11" s="1"/>
  <c r="B140" i="11" s="1"/>
  <c r="C140" i="11" s="1"/>
  <c r="D140" i="11" s="1"/>
  <c r="B141" i="11" s="1"/>
  <c r="C141" i="11" s="1"/>
  <c r="D141" i="11" s="1"/>
  <c r="B142" i="11" s="1"/>
  <c r="C142" i="11" s="1"/>
  <c r="D142" i="11" s="1"/>
  <c r="B143" i="11" s="1"/>
  <c r="C143" i="11" s="1"/>
  <c r="D143" i="11" s="1"/>
  <c r="B144" i="11" s="1"/>
  <c r="C144" i="11" s="1"/>
  <c r="D144" i="11" s="1"/>
  <c r="B145" i="11" s="1"/>
  <c r="C145" i="11" s="1"/>
  <c r="D145" i="11" s="1"/>
  <c r="B146" i="11" s="1"/>
  <c r="C146" i="11" s="1"/>
  <c r="D146" i="11" s="1"/>
  <c r="B147" i="11" s="1"/>
  <c r="C147" i="11" s="1"/>
  <c r="D147" i="11" s="1"/>
  <c r="D149" i="11" s="1"/>
  <c r="D112" i="10"/>
  <c r="B113" i="10" s="1"/>
  <c r="C113" i="10" s="1"/>
  <c r="D113" i="10" s="1"/>
  <c r="B114" i="10" s="1"/>
  <c r="C114" i="10" s="1"/>
  <c r="D114" i="10" s="1"/>
  <c r="B115" i="10" s="1"/>
  <c r="C115" i="10" s="1"/>
  <c r="D115" i="10" s="1"/>
  <c r="B116" i="10" s="1"/>
  <c r="C116" i="10" s="1"/>
  <c r="D116" i="10" s="1"/>
  <c r="B117" i="10" s="1"/>
  <c r="C117" i="10" s="1"/>
  <c r="D117" i="10" s="1"/>
  <c r="B118" i="10" s="1"/>
  <c r="C118" i="10" s="1"/>
  <c r="D118" i="10" s="1"/>
  <c r="B119" i="10" s="1"/>
  <c r="C119" i="10" s="1"/>
  <c r="D119" i="10" s="1"/>
  <c r="B120" i="10" s="1"/>
  <c r="C120" i="10" s="1"/>
  <c r="D120" i="10" s="1"/>
  <c r="B121" i="10" s="1"/>
  <c r="C121" i="10" s="1"/>
  <c r="D121" i="10" s="1"/>
  <c r="D123" i="10" s="1"/>
  <c r="F123" i="10" s="1"/>
  <c r="D138" i="10"/>
  <c r="B139" i="10" s="1"/>
  <c r="C139" i="10" s="1"/>
  <c r="D139" i="10" s="1"/>
  <c r="B140" i="10" s="1"/>
  <c r="C140" i="10" s="1"/>
  <c r="D140" i="10" s="1"/>
  <c r="B141" i="10" s="1"/>
  <c r="C141" i="10" s="1"/>
  <c r="D141" i="10" s="1"/>
  <c r="B142" i="10" s="1"/>
  <c r="C142" i="10" s="1"/>
  <c r="D142" i="10" s="1"/>
  <c r="B143" i="10" s="1"/>
  <c r="C143" i="10" s="1"/>
  <c r="D143" i="10" s="1"/>
  <c r="B144" i="10" s="1"/>
  <c r="C144" i="10" s="1"/>
  <c r="D144" i="10" s="1"/>
  <c r="B145" i="10" s="1"/>
  <c r="C145" i="10" s="1"/>
  <c r="D145" i="10" s="1"/>
  <c r="B146" i="10" s="1"/>
  <c r="C146" i="10" s="1"/>
  <c r="D146" i="10" s="1"/>
  <c r="B147" i="10" s="1"/>
  <c r="C147" i="10" s="1"/>
  <c r="D147" i="10" s="1"/>
  <c r="D149" i="10" s="1"/>
  <c r="C29" i="7"/>
  <c r="C94" i="7"/>
  <c r="C33" i="7"/>
  <c r="C34" i="7" s="1"/>
  <c r="C45" i="7"/>
  <c r="C44" i="7"/>
  <c r="C40" i="7"/>
  <c r="C39" i="7"/>
  <c r="C46" i="8"/>
  <c r="C26" i="8"/>
  <c r="C31" i="8" s="1"/>
  <c r="C25" i="8"/>
  <c r="C30" i="8" s="1"/>
  <c r="C152" i="14" l="1"/>
  <c r="I12" i="9" s="1"/>
  <c r="C152" i="13"/>
  <c r="I11" i="9" s="1"/>
  <c r="C152" i="10"/>
  <c r="I8" i="9" s="1"/>
  <c r="B152" i="13"/>
  <c r="B152" i="10"/>
  <c r="C152" i="11"/>
  <c r="I9" i="9" s="1"/>
  <c r="B152" i="14"/>
  <c r="B152" i="11"/>
  <c r="C55" i="7"/>
  <c r="C58" i="7"/>
  <c r="C57" i="7"/>
  <c r="C47" i="8"/>
  <c r="C48" i="8" s="1"/>
  <c r="C32" i="8"/>
  <c r="C34" i="8" s="1"/>
  <c r="C37" i="8" l="1"/>
  <c r="C38" i="8" s="1"/>
  <c r="C35" i="7"/>
  <c r="C42" i="8" l="1"/>
  <c r="C30" i="7"/>
  <c r="C43" i="8" l="1"/>
  <c r="F8" i="8" s="1"/>
  <c r="F43" i="8"/>
  <c r="C46" i="7"/>
  <c r="C41" i="7"/>
  <c r="C51" i="7"/>
  <c r="C53" i="8" l="1"/>
  <c r="C50" i="8"/>
  <c r="I6" i="9" s="1"/>
  <c r="J15" i="9" s="1"/>
  <c r="C102" i="7"/>
  <c r="C59" i="7"/>
  <c r="C47" i="7"/>
  <c r="C79" i="7" s="1"/>
  <c r="C42" i="7"/>
  <c r="C81" i="7"/>
  <c r="C52" i="7"/>
  <c r="J16" i="9" l="1"/>
  <c r="J14" i="9"/>
  <c r="J11" i="9"/>
  <c r="J13" i="9"/>
  <c r="J9" i="9"/>
  <c r="J6" i="9"/>
  <c r="J12" i="9"/>
  <c r="J8" i="9"/>
  <c r="J10" i="9"/>
  <c r="C60" i="7"/>
  <c r="C128" i="7"/>
  <c r="C95" i="7" l="1"/>
  <c r="C73" i="7"/>
  <c r="C72" i="7"/>
  <c r="C71" i="7"/>
  <c r="C70" i="7"/>
  <c r="C69" i="7"/>
  <c r="C61" i="7"/>
  <c r="C75" i="7" l="1"/>
  <c r="C97" i="7" s="1"/>
  <c r="C126" i="7" s="1"/>
  <c r="C63" i="7"/>
  <c r="C80" i="7" l="1"/>
  <c r="C84" i="7" s="1"/>
  <c r="C85" i="7" s="1"/>
  <c r="C88" i="7" s="1"/>
  <c r="C64" i="7"/>
  <c r="C138" i="7" l="1"/>
  <c r="C112" i="7"/>
  <c r="C100" i="7"/>
  <c r="C105" i="7" s="1"/>
  <c r="C106" i="7" s="1"/>
  <c r="C131" i="7"/>
  <c r="C132" i="7" s="1"/>
  <c r="C89" i="7"/>
  <c r="C91" i="7" s="1"/>
  <c r="D138" i="7" l="1"/>
  <c r="B139" i="7" s="1"/>
  <c r="C139" i="7" s="1"/>
  <c r="D112" i="7"/>
  <c r="B113" i="7" s="1"/>
  <c r="C113" i="7" l="1"/>
  <c r="D113" i="7" s="1"/>
  <c r="B114" i="7" s="1"/>
  <c r="C114" i="7" s="1"/>
  <c r="D114" i="7" s="1"/>
  <c r="B115" i="7" s="1"/>
  <c r="D139" i="7"/>
  <c r="B140" i="7" l="1"/>
  <c r="C140" i="7" s="1"/>
  <c r="D140" i="7" s="1"/>
  <c r="C115" i="7"/>
  <c r="D115" i="7" s="1"/>
  <c r="B141" i="7" l="1"/>
  <c r="C141" i="7" s="1"/>
  <c r="D141" i="7" s="1"/>
  <c r="B142" i="7" l="1"/>
  <c r="C142" i="7" s="1"/>
  <c r="D142" i="7" s="1"/>
  <c r="B116" i="7"/>
  <c r="C116" i="7" s="1"/>
  <c r="D116" i="7" s="1"/>
  <c r="B143" i="7" l="1"/>
  <c r="C143" i="7" s="1"/>
  <c r="D143" i="7" s="1"/>
  <c r="B117" i="7"/>
  <c r="C117" i="7" s="1"/>
  <c r="B144" i="7" l="1"/>
  <c r="C144" i="7" s="1"/>
  <c r="D144" i="7" s="1"/>
  <c r="B145" i="7" s="1"/>
  <c r="C145" i="7" s="1"/>
  <c r="D145" i="7" s="1"/>
  <c r="D117" i="7"/>
  <c r="B118" i="7" s="1"/>
  <c r="C118" i="7" s="1"/>
  <c r="D118" i="7" l="1"/>
  <c r="B119" i="7" s="1"/>
  <c r="C119" i="7" s="1"/>
  <c r="B146" i="7"/>
  <c r="C146" i="7" s="1"/>
  <c r="D146" i="7" s="1"/>
  <c r="D119" i="7" l="1"/>
  <c r="B120" i="7" s="1"/>
  <c r="C120" i="7" s="1"/>
  <c r="B147" i="7"/>
  <c r="C147" i="7" s="1"/>
  <c r="D147" i="7" s="1"/>
  <c r="D149" i="7" s="1"/>
  <c r="D120" i="7" l="1"/>
  <c r="B121" i="7" s="1"/>
  <c r="C121" i="7" s="1"/>
  <c r="D121" i="7" l="1"/>
  <c r="D123" i="7" s="1"/>
  <c r="F123" i="7" s="1"/>
  <c r="C152" i="7" l="1"/>
  <c r="I7" i="9" s="1"/>
  <c r="J7" i="9" s="1"/>
  <c r="B152" i="7"/>
</calcChain>
</file>

<file path=xl/sharedStrings.xml><?xml version="1.0" encoding="utf-8"?>
<sst xmlns="http://schemas.openxmlformats.org/spreadsheetml/2006/main" count="1808" uniqueCount="198">
  <si>
    <t>Lipped Channel Section</t>
  </si>
  <si>
    <t>d</t>
  </si>
  <si>
    <t>mm</t>
  </si>
  <si>
    <t>b</t>
  </si>
  <si>
    <t>c</t>
  </si>
  <si>
    <t>t</t>
  </si>
  <si>
    <t>MPa</t>
  </si>
  <si>
    <t>Squash load</t>
  </si>
  <si>
    <t>kN</t>
  </si>
  <si>
    <t>Local buckling load</t>
  </si>
  <si>
    <t>Slenderness</t>
  </si>
  <si>
    <t>Local buckling capacity</t>
  </si>
  <si>
    <t>HF</t>
  </si>
  <si>
    <t>HF Lip</t>
  </si>
  <si>
    <t>CF Lip</t>
  </si>
  <si>
    <t>CF</t>
  </si>
  <si>
    <t>Web</t>
  </si>
  <si>
    <t>kNm</t>
  </si>
  <si>
    <t>α</t>
  </si>
  <si>
    <t>Interaction equation at mid-height</t>
  </si>
  <si>
    <t>Buckling Capacity</t>
  </si>
  <si>
    <t>Flexural buckling capacity</t>
  </si>
  <si>
    <t xml:space="preserve">Squash load </t>
  </si>
  <si>
    <t>Local buckling moment</t>
  </si>
  <si>
    <t>1. Stud Section Dimensions and Properties</t>
  </si>
  <si>
    <t xml:space="preserve">3.1. Compression Member </t>
  </si>
  <si>
    <t>Local buckling load factor at ambient temperature</t>
  </si>
  <si>
    <t>Thickness of the Stud (BMT)</t>
  </si>
  <si>
    <t>Length of the Stud</t>
  </si>
  <si>
    <t>Gross Area of the Stud Section</t>
  </si>
  <si>
    <t>Second Moment of Area about Major Axis (x-axis)</t>
  </si>
  <si>
    <t>Stud Hot Flange Temperature (HF)</t>
  </si>
  <si>
    <t>Stud Cold Flange Temperature (CF)</t>
  </si>
  <si>
    <t>Elastic Modulus</t>
  </si>
  <si>
    <t xml:space="preserve">Yield Strength </t>
  </si>
  <si>
    <t>3.2. Flexural Bember</t>
  </si>
  <si>
    <t>Mean thermal expansion coefficient</t>
  </si>
  <si>
    <t>Thermal bowing deflection</t>
  </si>
  <si>
    <t>Nmm</t>
  </si>
  <si>
    <t>Neutral axis shift about the major axis</t>
  </si>
  <si>
    <t>Eccentricity at mid-height</t>
  </si>
  <si>
    <t>Eccentricity at support</t>
  </si>
  <si>
    <t>Section moment capacity with Buckling</t>
  </si>
  <si>
    <t>Critical local buckling moment</t>
  </si>
  <si>
    <t>Section moment Capacity at mid-height</t>
  </si>
  <si>
    <t>N*</t>
  </si>
  <si>
    <t>Ultimate Capacity of the stud at elevated temperature</t>
  </si>
  <si>
    <r>
      <t xml:space="preserve">DIRECT STRENGTH METHOD (DSM) </t>
    </r>
    <r>
      <rPr>
        <b/>
        <sz val="12"/>
        <color theme="1"/>
        <rFont val="Times New Roman"/>
        <family val="1"/>
      </rPr>
      <t>- Draft AS4600 (SA, 2017)</t>
    </r>
  </si>
  <si>
    <r>
      <t>A</t>
    </r>
    <r>
      <rPr>
        <b/>
        <vertAlign val="subscript"/>
        <sz val="12"/>
        <color theme="1"/>
        <rFont val="Times New Roman"/>
        <family val="1"/>
      </rPr>
      <t>g</t>
    </r>
  </si>
  <si>
    <r>
      <t>mm</t>
    </r>
    <r>
      <rPr>
        <vertAlign val="superscript"/>
        <sz val="12"/>
        <color theme="1"/>
        <rFont val="Times New Roman"/>
        <family val="1"/>
      </rPr>
      <t>2</t>
    </r>
  </si>
  <si>
    <r>
      <t>I</t>
    </r>
    <r>
      <rPr>
        <b/>
        <vertAlign val="subscript"/>
        <sz val="12"/>
        <color theme="1"/>
        <rFont val="Times New Roman"/>
        <family val="1"/>
      </rPr>
      <t>xx</t>
    </r>
  </si>
  <si>
    <r>
      <t>mm</t>
    </r>
    <r>
      <rPr>
        <vertAlign val="superscript"/>
        <sz val="12"/>
        <color theme="1"/>
        <rFont val="Times New Roman"/>
        <family val="1"/>
      </rPr>
      <t>4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</si>
  <si>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</si>
  <si>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mm</t>
    </r>
    <r>
      <rPr>
        <vertAlign val="superscript"/>
        <sz val="12"/>
        <color theme="1"/>
        <rFont val="Times New Roman"/>
        <family val="1"/>
      </rPr>
      <t>3</t>
    </r>
  </si>
  <si>
    <r>
      <t>T</t>
    </r>
    <r>
      <rPr>
        <b/>
        <vertAlign val="subscript"/>
        <sz val="12"/>
        <color theme="1"/>
        <rFont val="Times New Roman"/>
        <family val="1"/>
      </rPr>
      <t>HF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</si>
  <si>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</si>
  <si>
    <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</si>
  <si>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T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</si>
  <si>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20</t>
    </r>
  </si>
  <si>
    <r>
      <t>f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</si>
  <si>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se,20</t>
    </r>
  </si>
  <si>
    <r>
      <t>N</t>
    </r>
    <r>
      <rPr>
        <b/>
        <vertAlign val="subscript"/>
        <sz val="12"/>
        <color theme="1"/>
        <rFont val="Times New Roman"/>
        <family val="1"/>
      </rPr>
      <t>ol,20</t>
    </r>
  </si>
  <si>
    <r>
      <t>M</t>
    </r>
    <r>
      <rPr>
        <b/>
        <vertAlign val="subscript"/>
        <sz val="12"/>
        <color theme="1"/>
        <rFont val="Times New Roman"/>
        <family val="1"/>
      </rPr>
      <t>ol,20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</si>
  <si>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</si>
  <si>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</si>
  <si>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</si>
  <si>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avg</t>
    </r>
  </si>
  <si>
    <r>
      <t>f</t>
    </r>
    <r>
      <rPr>
        <b/>
        <vertAlign val="subscript"/>
        <sz val="12"/>
        <color theme="1"/>
        <rFont val="Times New Roman"/>
        <family val="1"/>
      </rPr>
      <t>y,HF</t>
    </r>
  </si>
  <si>
    <r>
      <t>f</t>
    </r>
    <r>
      <rPr>
        <b/>
        <vertAlign val="subscript"/>
        <sz val="12"/>
        <color theme="1"/>
        <rFont val="Times New Roman"/>
        <family val="1"/>
      </rPr>
      <t>y,CF</t>
    </r>
  </si>
  <si>
    <r>
      <t>f</t>
    </r>
    <r>
      <rPr>
        <b/>
        <vertAlign val="subscript"/>
        <sz val="12"/>
        <color theme="1"/>
        <rFont val="Times New Roman"/>
        <family val="1"/>
      </rPr>
      <t>y,Web</t>
    </r>
  </si>
  <si>
    <r>
      <t>f</t>
    </r>
    <r>
      <rPr>
        <b/>
        <vertAlign val="subscript"/>
        <sz val="12"/>
        <color theme="1"/>
        <rFont val="Times New Roman"/>
        <family val="1"/>
      </rPr>
      <t>y,avg</t>
    </r>
  </si>
  <si>
    <r>
      <t>α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</si>
  <si>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r>
      <rPr>
        <vertAlign val="superscript"/>
        <sz val="12"/>
        <color theme="1"/>
        <rFont val="Times New Roman"/>
        <family val="1"/>
      </rPr>
      <t>-1</t>
    </r>
  </si>
  <si>
    <r>
      <t>e</t>
    </r>
    <r>
      <rPr>
        <b/>
        <vertAlign val="subscript"/>
        <sz val="12"/>
        <color theme="1"/>
        <rFont val="Times New Roman"/>
        <family val="1"/>
      </rPr>
      <t>∆T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</si>
  <si>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</si>
  <si>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</si>
  <si>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</si>
  <si>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Y</t>
    </r>
    <r>
      <rPr>
        <b/>
        <vertAlign val="subscript"/>
        <sz val="12"/>
        <rFont val="Times New Roman"/>
        <family val="1"/>
      </rPr>
      <t>T</t>
    </r>
  </si>
  <si>
    <r>
      <t>e</t>
    </r>
    <r>
      <rPr>
        <b/>
        <vertAlign val="subscript"/>
        <sz val="12"/>
        <color theme="1"/>
        <rFont val="Times New Roman"/>
        <family val="1"/>
      </rPr>
      <t>∆E</t>
    </r>
  </si>
  <si>
    <r>
      <t>e</t>
    </r>
    <r>
      <rPr>
        <b/>
        <vertAlign val="subscript"/>
        <sz val="12"/>
        <color theme="1"/>
        <rFont val="Times New Roman"/>
        <family val="1"/>
      </rPr>
      <t>mid-height</t>
    </r>
  </si>
  <si>
    <r>
      <t>e</t>
    </r>
    <r>
      <rPr>
        <b/>
        <vertAlign val="subscript"/>
        <sz val="12"/>
        <color theme="1"/>
        <rFont val="Times New Roman"/>
        <family val="1"/>
      </rPr>
      <t>support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</si>
  <si>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lip</t>
    </r>
  </si>
  <si>
    <r>
      <t>Nmm</t>
    </r>
    <r>
      <rPr>
        <vertAlign val="superscript"/>
        <sz val="12"/>
        <color theme="1"/>
        <rFont val="Times New Roman"/>
        <family val="1"/>
      </rPr>
      <t>2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</si>
  <si>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HF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</si>
  <si>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Lip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</si>
  <si>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</si>
  <si>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web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Web</t>
    </r>
  </si>
  <si>
    <r>
      <t>Σ(E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</si>
  <si>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theme="1"/>
        <rFont val="Times New Roman"/>
        <family val="1"/>
      </rPr>
      <t>se,T</t>
    </r>
  </si>
  <si>
    <r>
      <t>N</t>
    </r>
    <r>
      <rPr>
        <b/>
        <vertAlign val="subscript"/>
        <sz val="12"/>
        <color theme="1"/>
        <rFont val="Times New Roman"/>
        <family val="1"/>
      </rPr>
      <t>cr,T</t>
    </r>
  </si>
  <si>
    <r>
      <t>N</t>
    </r>
    <r>
      <rPr>
        <b/>
        <vertAlign val="subscript"/>
        <sz val="12"/>
        <color theme="1"/>
        <rFont val="Times New Roman"/>
        <family val="1"/>
      </rPr>
      <t>ol,T</t>
    </r>
  </si>
  <si>
    <r>
      <t>λ</t>
    </r>
    <r>
      <rPr>
        <b/>
        <vertAlign val="subscript"/>
        <sz val="12"/>
        <color theme="1"/>
        <rFont val="Times New Roman"/>
        <family val="1"/>
      </rPr>
      <t>c</t>
    </r>
  </si>
  <si>
    <r>
      <t>N</t>
    </r>
    <r>
      <rPr>
        <b/>
        <vertAlign val="subscript"/>
        <sz val="12"/>
        <color theme="1"/>
        <rFont val="Times New Roman"/>
        <family val="1"/>
      </rPr>
      <t>ce,T</t>
    </r>
  </si>
  <si>
    <r>
      <t>λ</t>
    </r>
    <r>
      <rPr>
        <b/>
        <vertAlign val="subscript"/>
        <sz val="12"/>
        <color theme="1"/>
        <rFont val="Times New Roman"/>
        <family val="1"/>
      </rPr>
      <t>l</t>
    </r>
  </si>
  <si>
    <r>
      <t>N</t>
    </r>
    <r>
      <rPr>
        <b/>
        <vertAlign val="subscript"/>
        <sz val="12"/>
        <color theme="1"/>
        <rFont val="Times New Roman"/>
        <family val="1"/>
      </rPr>
      <t>cl,T</t>
    </r>
  </si>
  <si>
    <r>
      <t>Z</t>
    </r>
    <r>
      <rPr>
        <b/>
        <vertAlign val="subscript"/>
        <sz val="12"/>
        <color theme="1"/>
        <rFont val="Times New Roman"/>
        <family val="1"/>
      </rPr>
      <t>x,T</t>
    </r>
  </si>
  <si>
    <r>
      <t>M</t>
    </r>
    <r>
      <rPr>
        <b/>
        <vertAlign val="subscript"/>
        <sz val="12"/>
        <color theme="1"/>
        <rFont val="Times New Roman"/>
        <family val="1"/>
      </rPr>
      <t>ce,mid,T</t>
    </r>
  </si>
  <si>
    <r>
      <t>M</t>
    </r>
    <r>
      <rPr>
        <b/>
        <vertAlign val="subscript"/>
        <sz val="12"/>
        <color theme="1"/>
        <rFont val="Times New Roman"/>
        <family val="1"/>
      </rPr>
      <t>0l,T</t>
    </r>
  </si>
  <si>
    <r>
      <t>M</t>
    </r>
    <r>
      <rPr>
        <b/>
        <vertAlign val="subscript"/>
        <sz val="12"/>
        <color theme="1"/>
        <rFont val="Times New Roman"/>
        <family val="1"/>
      </rPr>
      <t>x,mid,T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</si>
  <si>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mid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x,mid,T</t>
    </r>
    <r>
      <rPr>
        <b/>
        <sz val="12"/>
        <color theme="1"/>
        <rFont val="Times New Roman"/>
        <family val="1"/>
      </rPr>
      <t>=1</t>
    </r>
  </si>
  <si>
    <r>
      <t>M</t>
    </r>
    <r>
      <rPr>
        <b/>
        <vertAlign val="subscript"/>
        <sz val="12"/>
        <color theme="1"/>
        <rFont val="Times New Roman"/>
        <family val="1"/>
      </rPr>
      <t>ce,sup,T</t>
    </r>
  </si>
  <si>
    <r>
      <t>M</t>
    </r>
    <r>
      <rPr>
        <b/>
        <vertAlign val="subscript"/>
        <sz val="12"/>
        <color theme="1"/>
        <rFont val="Times New Roman"/>
        <family val="1"/>
      </rPr>
      <t>x,sup,T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</si>
  <si>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sup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x,sup,T</t>
    </r>
    <r>
      <rPr>
        <b/>
        <sz val="12"/>
        <color theme="1"/>
        <rFont val="Times New Roman"/>
        <family val="1"/>
      </rPr>
      <t>=1</t>
    </r>
  </si>
  <si>
    <t>Local buckling moment factor at ambient temperature</t>
  </si>
  <si>
    <r>
      <t>A</t>
    </r>
    <r>
      <rPr>
        <b/>
        <vertAlign val="subscript"/>
        <sz val="12"/>
        <color theme="1"/>
        <rFont val="Times New Roman"/>
        <family val="1"/>
      </rPr>
      <t>T</t>
    </r>
  </si>
  <si>
    <r>
      <t>Y</t>
    </r>
    <r>
      <rPr>
        <b/>
        <vertAlign val="subscript"/>
        <sz val="12"/>
        <color theme="1"/>
        <rFont val="Times New Roman"/>
        <family val="1"/>
      </rPr>
      <t>T</t>
    </r>
  </si>
  <si>
    <t>3. Load Factors from Elastic buckling Analysis - Compression Member</t>
  </si>
  <si>
    <t>Screw Spacing</t>
  </si>
  <si>
    <r>
      <t>L</t>
    </r>
    <r>
      <rPr>
        <b/>
        <vertAlign val="subscript"/>
        <sz val="12"/>
        <color theme="1"/>
        <rFont val="Times New Roman"/>
        <family val="1"/>
      </rPr>
      <t>y</t>
    </r>
  </si>
  <si>
    <r>
      <t>L</t>
    </r>
    <r>
      <rPr>
        <b/>
        <vertAlign val="subscript"/>
        <sz val="12"/>
        <color theme="1"/>
        <rFont val="Times New Roman"/>
        <family val="1"/>
      </rPr>
      <t>x</t>
    </r>
  </si>
  <si>
    <t>Critical Stress</t>
  </si>
  <si>
    <t>4. Section Properties</t>
  </si>
  <si>
    <r>
      <t>I</t>
    </r>
    <r>
      <rPr>
        <b/>
        <vertAlign val="subscript"/>
        <sz val="12"/>
        <color theme="1"/>
        <rFont val="Times New Roman"/>
        <family val="1"/>
      </rPr>
      <t>yy</t>
    </r>
  </si>
  <si>
    <t>Second Moment of Area about Major Axis (y-axis)</t>
  </si>
  <si>
    <t xml:space="preserve">Elastic flexural buckling stress about the major axis </t>
  </si>
  <si>
    <t xml:space="preserve">Elastic flexural buckling stress about the minor axis </t>
  </si>
  <si>
    <t>Elastic flexural buckling stress</t>
  </si>
  <si>
    <t xml:space="preserve">Elastic flexural buckling load </t>
  </si>
  <si>
    <t>N</t>
  </si>
  <si>
    <t>Nominal yeild load</t>
  </si>
  <si>
    <t>Elastic Local buckling load</t>
  </si>
  <si>
    <r>
      <t>N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</si>
  <si>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</si>
  <si>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</si>
  <si>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oy,20</t>
    </r>
  </si>
  <si>
    <r>
      <t>f</t>
    </r>
    <r>
      <rPr>
        <b/>
        <vertAlign val="subscript"/>
        <sz val="12"/>
        <rFont val="Times New Roman"/>
        <family val="1"/>
      </rPr>
      <t>ox,20</t>
    </r>
  </si>
  <si>
    <r>
      <t>Local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</si>
  <si>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Radius of gyration about major axis</t>
  </si>
  <si>
    <t>Radius of gyration about minor axis</t>
  </si>
  <si>
    <t>Mpa</t>
  </si>
  <si>
    <r>
      <t>Distortional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</si>
  <si>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 xml:space="preserve">DIRECT STRENGTH METHOD (DSM) </t>
    </r>
    <r>
      <rPr>
        <b/>
        <sz val="12"/>
        <color theme="1"/>
        <rFont val="Times New Roman"/>
        <family val="1"/>
      </rPr>
      <t>- AS4600 (SA, 2005)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</si>
  <si>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</si>
  <si>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</si>
  <si>
    <r>
      <t>N</t>
    </r>
    <r>
      <rPr>
        <b/>
        <vertAlign val="subscript"/>
        <sz val="12"/>
        <color theme="1"/>
        <rFont val="Times New Roman"/>
        <family val="1"/>
      </rPr>
      <t>od,20</t>
    </r>
  </si>
  <si>
    <r>
      <t>λ</t>
    </r>
    <r>
      <rPr>
        <b/>
        <vertAlign val="subscript"/>
        <sz val="12"/>
        <color theme="1"/>
        <rFont val="Times New Roman"/>
        <family val="1"/>
      </rPr>
      <t>d</t>
    </r>
  </si>
  <si>
    <t>Elastic distortional buckling load</t>
  </si>
  <si>
    <r>
      <t>2.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</si>
  <si>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r>
      <t>5. Flexural Buckling Capacity (N</t>
    </r>
    <r>
      <rPr>
        <b/>
        <u/>
        <vertAlign val="subscript"/>
        <sz val="12"/>
        <color theme="1"/>
        <rFont val="Times New Roman"/>
        <family val="1"/>
      </rPr>
      <t>ce</t>
    </r>
    <r>
      <rPr>
        <b/>
        <u/>
        <sz val="12"/>
        <color theme="1"/>
        <rFont val="Times New Roman"/>
        <family val="1"/>
      </rPr>
      <t>)</t>
    </r>
  </si>
  <si>
    <r>
      <t>6. Local Buckling Capacity (N</t>
    </r>
    <r>
      <rPr>
        <b/>
        <u/>
        <vertAlign val="subscript"/>
        <sz val="12"/>
        <color theme="1"/>
        <rFont val="Times New Roman"/>
        <family val="1"/>
      </rPr>
      <t>cl</t>
    </r>
    <r>
      <rPr>
        <b/>
        <u/>
        <sz val="12"/>
        <color theme="1"/>
        <rFont val="Times New Roman"/>
        <family val="1"/>
      </rPr>
      <t>)</t>
    </r>
  </si>
  <si>
    <r>
      <t>7. Distortional Buckling Capacity (N</t>
    </r>
    <r>
      <rPr>
        <b/>
        <u/>
        <vertAlign val="subscript"/>
        <sz val="12"/>
        <color theme="1"/>
        <rFont val="Times New Roman"/>
        <family val="1"/>
      </rPr>
      <t>cd</t>
    </r>
    <r>
      <rPr>
        <b/>
        <u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</si>
  <si>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rgb="FFC00000"/>
        <rFont val="Times New Roman"/>
        <family val="1"/>
      </rPr>
      <t>ce,20</t>
    </r>
  </si>
  <si>
    <r>
      <t>N</t>
    </r>
    <r>
      <rPr>
        <b/>
        <vertAlign val="subscript"/>
        <sz val="12"/>
        <color rgb="FFC00000"/>
        <rFont val="Times New Roman"/>
        <family val="1"/>
      </rPr>
      <t>cl,20</t>
    </r>
  </si>
  <si>
    <r>
      <t>N</t>
    </r>
    <r>
      <rPr>
        <b/>
        <vertAlign val="subscript"/>
        <sz val="12"/>
        <color rgb="FFC00000"/>
        <rFont val="Times New Roman"/>
        <family val="1"/>
      </rPr>
      <t>cd,20</t>
    </r>
  </si>
  <si>
    <t>Elastic Modulus at elevated temperature</t>
  </si>
  <si>
    <t>Yield Stregnth at elevated temperature</t>
  </si>
  <si>
    <t>Section Modulus at ambient temperature</t>
  </si>
  <si>
    <t>Stud mid-web temperature</t>
  </si>
  <si>
    <t>4. Section properties/stud mid-web temperature</t>
  </si>
  <si>
    <r>
      <t>5. Critical Buckling loads/moment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</si>
  <si>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Nominal Member Compression Capacity</t>
  </si>
  <si>
    <t>Ultimate Capacity of the Stud at Ambient Temperature (Nominal Value)</t>
  </si>
  <si>
    <t>Ultimate Capacity at Support</t>
  </si>
  <si>
    <t>Ultimate Capacity at Mid-height</t>
  </si>
  <si>
    <t>6. Mechanical Properties at Elevated temperature</t>
  </si>
  <si>
    <t>7. Thermal Bowing and Neutral Axis Shift</t>
  </si>
  <si>
    <t>7.1. Thermal Bowing</t>
  </si>
  <si>
    <t>7.2. Neutral Axis Shift</t>
  </si>
  <si>
    <t>8. Element stiffness about major axis (x-axis)</t>
  </si>
  <si>
    <t>9. Column capacity at elevated temperature</t>
  </si>
  <si>
    <t>9.1 Critical buckling loads</t>
  </si>
  <si>
    <t>9.3. Local buckling capacity</t>
  </si>
  <si>
    <t>9.2 Flexural buckling capacity</t>
  </si>
  <si>
    <t>10. Section Moment capacity at elevated temperature (based on mid-web temperature)</t>
  </si>
  <si>
    <t>10.1.At mid-height</t>
  </si>
  <si>
    <t>10.2. At Support</t>
  </si>
  <si>
    <t>3. Load/Moment Factors from Elastic Buckling Analysis</t>
  </si>
  <si>
    <t>Stud Web Depth (Centreline Dimension)</t>
  </si>
  <si>
    <t>Stud Flange Width (Centreline Dimension)</t>
  </si>
  <si>
    <t>Stud Lip length (Centreline Dimension)</t>
  </si>
  <si>
    <r>
      <t>3.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</si>
  <si>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4. Load/Moment Factors from Elastic Buckling Analysis</t>
  </si>
  <si>
    <t>Time</t>
  </si>
  <si>
    <t>Time (min)</t>
  </si>
  <si>
    <t>Stud Temperatures</t>
  </si>
  <si>
    <t>Load Ratio</t>
  </si>
  <si>
    <t>min</t>
  </si>
  <si>
    <t>Ref: DSM Ambient</t>
  </si>
  <si>
    <t>Ref: Sheet 1</t>
  </si>
  <si>
    <t>Ref: Sheet 2</t>
  </si>
  <si>
    <t>Ref: Sheet 3</t>
  </si>
  <si>
    <t>Ref: Sheet 4</t>
  </si>
  <si>
    <t>Ref: Sheet 5</t>
  </si>
  <si>
    <t>Ref: Sheet 6</t>
  </si>
  <si>
    <t>Ref: Sheet 7</t>
  </si>
  <si>
    <t>Ref: Sheet 8</t>
  </si>
  <si>
    <t>Ref: Sheet 9</t>
  </si>
  <si>
    <t>Ref: Sheet 10</t>
  </si>
  <si>
    <t>NOTES:</t>
  </si>
  <si>
    <r>
      <t>mm</t>
    </r>
    <r>
      <rPr>
        <b/>
        <vertAlign val="superscript"/>
        <sz val="12"/>
        <color theme="1"/>
        <rFont val="Times New Roman"/>
        <family val="1"/>
      </rPr>
      <t>2</t>
    </r>
  </si>
  <si>
    <r>
      <t>mm</t>
    </r>
    <r>
      <rPr>
        <b/>
        <vertAlign val="superscript"/>
        <sz val="12"/>
        <color theme="1"/>
        <rFont val="Times New Roman"/>
        <family val="1"/>
      </rPr>
      <t>4</t>
    </r>
  </si>
  <si>
    <t>Ultimate Axial Compression Capacity of the Stud (kN)</t>
  </si>
  <si>
    <r>
      <t>1. Stud axial compression capacity at ambient temperature (20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C) </t>
    </r>
  </si>
  <si>
    <t>-</t>
  </si>
  <si>
    <t>Input parameters</t>
  </si>
  <si>
    <t xml:space="preserve">Output </t>
  </si>
  <si>
    <t>Distortional buckling capacity</t>
  </si>
  <si>
    <t>Ultimate Capacity of the Stud at Ambient Temperature (Nominal Value) - Flexural and Local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</si>
</sst>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E+00"/>
    <numFmt numFmtId="167" formatCode="0.0000000E+00"/>
  </numFmts>
  <fonts count="22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vertAlign val="subscript"/>
      <sz val="12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3" fillId="2" borderId="0" xfId="0" applyFont="1" applyFill="1"/>
    <xf numFmtId="2" fontId="3" fillId="0" borderId="0" xfId="0" applyNumberFormat="1" applyFont="1"/>
    <xf numFmtId="2" fontId="6" fillId="0" borderId="0" xfId="0" applyNumberFormat="1" applyFont="1"/>
    <xf numFmtId="3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3" fillId="0" borderId="0" xfId="0" applyNumberFormat="1" applyFont="1"/>
    <xf numFmtId="11" fontId="3" fillId="0" borderId="0" xfId="0" applyNumberFormat="1" applyFont="1"/>
    <xf numFmtId="0" fontId="7" fillId="0" borderId="0" xfId="0" applyFont="1"/>
    <xf numFmtId="164" fontId="3" fillId="0" borderId="0" xfId="0" applyNumberFormat="1" applyFont="1"/>
    <xf numFmtId="2" fontId="7" fillId="0" borderId="0" xfId="0" applyNumberFormat="1" applyFont="1"/>
    <xf numFmtId="165" fontId="3" fillId="0" borderId="0" xfId="0" applyNumberFormat="1" applyFont="1"/>
    <xf numFmtId="2" fontId="2" fillId="4" borderId="0" xfId="0" applyNumberFormat="1" applyFont="1" applyFill="1"/>
    <xf numFmtId="2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horizontal="center"/>
    </xf>
    <xf numFmtId="0" fontId="1" fillId="5" borderId="0" xfId="0" applyFont="1" applyFill="1"/>
    <xf numFmtId="3" fontId="3" fillId="2" borderId="0" xfId="0" applyNumberFormat="1" applyFont="1" applyFill="1"/>
    <xf numFmtId="3" fontId="6" fillId="0" borderId="0" xfId="0" applyNumberFormat="1" applyFont="1"/>
    <xf numFmtId="165" fontId="3" fillId="2" borderId="0" xfId="0" applyNumberFormat="1" applyFont="1" applyFill="1"/>
    <xf numFmtId="0" fontId="9" fillId="4" borderId="0" xfId="0" applyFont="1" applyFill="1" applyAlignment="1">
      <alignment horizontal="left" vertical="center"/>
    </xf>
    <xf numFmtId="0" fontId="14" fillId="4" borderId="0" xfId="0" applyFont="1" applyFill="1"/>
    <xf numFmtId="3" fontId="14" fillId="4" borderId="0" xfId="0" applyNumberFormat="1" applyFont="1" applyFill="1"/>
    <xf numFmtId="2" fontId="9" fillId="4" borderId="0" xfId="0" applyNumberFormat="1" applyFont="1" applyFill="1" applyAlignment="1">
      <alignment horizontal="right" vertical="center"/>
    </xf>
    <xf numFmtId="4" fontId="9" fillId="4" borderId="0" xfId="0" applyNumberFormat="1" applyFont="1" applyFill="1" applyAlignment="1">
      <alignment horizontal="left" vertical="center"/>
    </xf>
    <xf numFmtId="2" fontId="14" fillId="4" borderId="0" xfId="0" applyNumberFormat="1" applyFont="1" applyFill="1"/>
    <xf numFmtId="2" fontId="13" fillId="4" borderId="0" xfId="0" applyNumberFormat="1" applyFont="1" applyFill="1"/>
    <xf numFmtId="4" fontId="9" fillId="4" borderId="0" xfId="0" applyNumberFormat="1" applyFont="1" applyFill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3" fontId="2" fillId="2" borderId="1" xfId="0" applyNumberFormat="1" applyFont="1" applyFill="1" applyBorder="1" applyAlignment="1">
      <alignment horizontal="center"/>
    </xf>
    <xf numFmtId="0" fontId="20" fillId="6" borderId="0" xfId="0" applyFont="1" applyFill="1"/>
    <xf numFmtId="3" fontId="20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/>
    <xf numFmtId="0" fontId="2" fillId="0" borderId="1" xfId="0" applyFont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2" fontId="2" fillId="2" borderId="0" xfId="0" applyNumberFormat="1" applyFont="1" applyFill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/>
    <xf numFmtId="3" fontId="0" fillId="0" borderId="0" xfId="0" applyNumberFormat="1"/>
    <xf numFmtId="0" fontId="21" fillId="8" borderId="0" xfId="0" applyFont="1" applyFill="1"/>
    <xf numFmtId="0" fontId="1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/>
    </xf>
    <xf numFmtId="2" fontId="10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248380885699"/>
          <c:y val="0.10208987123923709"/>
          <c:w val="0.7446150383836363"/>
          <c:h val="0.69722459457459662"/>
        </c:manualLayout>
      </c:layout>
      <c:scatterChart>
        <c:scatterStyle val="lineMarker"/>
        <c:varyColors val="0"/>
        <c:ser>
          <c:idx val="1"/>
          <c:order val="0"/>
          <c:tx>
            <c:v>DSM - Draft AS/NZS 4600 (2017)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'Input-Output Screen'!$F$6:$F$16</c:f>
              <c:numCache>
                <c:formatCode>#,##0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85</c:v>
                </c:pt>
                <c:pt idx="4">
                  <c:v>110</c:v>
                </c:pt>
                <c:pt idx="5">
                  <c:v>150</c:v>
                </c:pt>
                <c:pt idx="6">
                  <c:v>170</c:v>
                </c:pt>
                <c:pt idx="7">
                  <c:v>174</c:v>
                </c:pt>
                <c:pt idx="8">
                  <c:v>180</c:v>
                </c:pt>
              </c:numCache>
            </c:numRef>
          </c:xVal>
          <c:yVal>
            <c:numRef>
              <c:f>'Input-Output Screen'!$J$6:$J$16</c:f>
              <c:numCache>
                <c:formatCode>0.000</c:formatCode>
                <c:ptCount val="11"/>
                <c:pt idx="0">
                  <c:v>1</c:v>
                </c:pt>
                <c:pt idx="1">
                  <c:v>0.71278303585129532</c:v>
                </c:pt>
                <c:pt idx="2">
                  <c:v>0.58666283459908453</c:v>
                </c:pt>
                <c:pt idx="3">
                  <c:v>0.47009567344531439</c:v>
                </c:pt>
                <c:pt idx="4">
                  <c:v>0.4398257703523662</c:v>
                </c:pt>
                <c:pt idx="5">
                  <c:v>0.42916108259046215</c:v>
                </c:pt>
                <c:pt idx="6">
                  <c:v>0.39924579745555716</c:v>
                </c:pt>
                <c:pt idx="7">
                  <c:v>0.36699680881261587</c:v>
                </c:pt>
                <c:pt idx="8">
                  <c:v>0.32348304379244386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1-4266-8DC4-DEC613D9BDAA}"/>
            </c:ext>
          </c:extLst>
        </c:ser>
        <c:ser>
          <c:idx val="0"/>
          <c:order val="1"/>
          <c:tx>
            <c:v>Experiment</c:v>
          </c:tx>
          <c:xVal>
            <c:numRef>
              <c:f>'Input-Output Screen'!$R$22:$R$23</c:f>
              <c:numCache>
                <c:formatCode>General</c:formatCode>
                <c:ptCount val="2"/>
                <c:pt idx="0">
                  <c:v>0</c:v>
                </c:pt>
                <c:pt idx="1">
                  <c:v>176</c:v>
                </c:pt>
              </c:numCache>
            </c:numRef>
          </c:xVal>
          <c:yVal>
            <c:numRef>
              <c:f>'Input-Output Screen'!$S$22:$S$23</c:f>
              <c:numCache>
                <c:formatCode>General</c:formatCode>
                <c:ptCount val="2"/>
                <c:pt idx="0">
                  <c:v>0.434</c:v>
                </c:pt>
                <c:pt idx="1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5-4011-B8AA-66FEDB8A5B3D}"/>
            </c:ext>
          </c:extLst>
        </c:ser>
        <c:ser>
          <c:idx val="2"/>
          <c:order val="2"/>
          <c:xVal>
            <c:numRef>
              <c:f>'Input-Output Screen'!$R$25:$R$26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xVal>
          <c:yVal>
            <c:numRef>
              <c:f>'Input-Output Screen'!$S$25:$S$26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F-4693-8072-E2E1BB75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9856"/>
        <c:axId val="150172416"/>
      </c:scatterChart>
      <c:valAx>
        <c:axId val="150169856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Time (min)</a:t>
                </a:r>
              </a:p>
            </c:rich>
          </c:tx>
          <c:layout>
            <c:manualLayout>
              <c:xMode val="edge"/>
              <c:yMode val="edge"/>
              <c:x val="0.76923932884899116"/>
              <c:y val="0.8626204945469103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0172416"/>
        <c:crosses val="autoZero"/>
        <c:crossBetween val="midCat"/>
        <c:majorUnit val="10"/>
      </c:valAx>
      <c:valAx>
        <c:axId val="150172416"/>
        <c:scaling>
          <c:orientation val="minMax"/>
          <c:max val="1.2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AU" sz="1200"/>
                  <a:t>Load Ratio</a:t>
                </a:r>
              </a:p>
            </c:rich>
          </c:tx>
          <c:layout>
            <c:manualLayout>
              <c:xMode val="edge"/>
              <c:yMode val="edge"/>
              <c:x val="3.9615319696931814E-2"/>
              <c:y val="0.3239413353315742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0169856"/>
        <c:crosses val="autoZero"/>
        <c:crossBetween val="midCat"/>
        <c:majorUnit val="0.1"/>
        <c:minorUnit val="0.1"/>
      </c:valAx>
    </c:plotArea>
    <c:legend>
      <c:legendPos val="b"/>
      <c:layout>
        <c:manualLayout>
          <c:xMode val="edge"/>
          <c:yMode val="edge"/>
          <c:x val="0.1623099512865368"/>
          <c:y val="0.88684739409367452"/>
          <c:w val="0.82657249661974075"/>
          <c:h val="5.387433757339505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40000"/>
            <a:lumOff val="60000"/>
          </a:schemeClr>
        </a:gs>
        <a:gs pos="100000">
          <a:schemeClr val="accent2">
            <a:lumMod val="75000"/>
          </a:schemeClr>
        </a:gs>
      </a:gsLst>
      <a:lin ang="5400000" scaled="1"/>
    </a:gradFill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39971" y="4045323"/>
    <xdr:ext cx="6286500" cy="45159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S30"/>
  <sheetViews>
    <sheetView tabSelected="1" zoomScale="85" zoomScaleNormal="85" workbookViewId="0">
      <selection activeCell="C18" sqref="C18"/>
    </sheetView>
  </sheetViews>
  <sheetFormatPr defaultRowHeight="15" x14ac:dyDescent="0.25"/>
  <cols>
    <col min="1" max="1" width="63.42578125" customWidth="1"/>
    <col min="2" max="2" width="4.7109375" bestFit="1" customWidth="1"/>
    <col min="3" max="3" width="11.28515625" bestFit="1" customWidth="1"/>
    <col min="4" max="4" width="6.42578125" customWidth="1"/>
    <col min="5" max="5" width="4.85546875" customWidth="1"/>
    <col min="6" max="6" width="13" customWidth="1"/>
    <col min="7" max="7" width="11" customWidth="1"/>
    <col min="8" max="8" width="10.85546875" customWidth="1"/>
    <col min="9" max="9" width="30.28515625" customWidth="1"/>
    <col min="10" max="10" width="10.5703125" customWidth="1"/>
    <col min="11" max="11" width="18.7109375" customWidth="1"/>
    <col min="12" max="12" width="5.42578125" customWidth="1"/>
    <col min="13" max="13" width="3.42578125" customWidth="1"/>
    <col min="15" max="15" width="3.5703125" customWidth="1"/>
  </cols>
  <sheetData>
    <row r="1" spans="1:19" ht="21" customHeight="1" x14ac:dyDescent="0.25">
      <c r="A1" s="1" t="s">
        <v>47</v>
      </c>
      <c r="B1" s="2"/>
      <c r="C1" s="3"/>
      <c r="D1" s="3"/>
      <c r="E1" s="3"/>
    </row>
    <row r="2" spans="1:19" ht="21" customHeight="1" x14ac:dyDescent="0.25">
      <c r="A2" s="2" t="s">
        <v>0</v>
      </c>
      <c r="B2" s="2"/>
      <c r="C2" s="3"/>
      <c r="D2" s="3"/>
      <c r="E2" s="3"/>
    </row>
    <row r="3" spans="1:19" ht="15.75" x14ac:dyDescent="0.25">
      <c r="A3" s="3"/>
      <c r="B3" s="2"/>
      <c r="C3" s="3"/>
      <c r="D3" s="3"/>
      <c r="E3" s="3"/>
      <c r="F3" s="57" t="s">
        <v>173</v>
      </c>
      <c r="G3" s="57" t="s">
        <v>174</v>
      </c>
      <c r="H3" s="57"/>
      <c r="I3" s="58" t="s">
        <v>191</v>
      </c>
      <c r="J3" s="58" t="s">
        <v>175</v>
      </c>
      <c r="M3" s="59" t="s">
        <v>188</v>
      </c>
      <c r="N3" s="59"/>
      <c r="O3" s="59"/>
      <c r="P3" s="59"/>
      <c r="Q3" s="59"/>
      <c r="R3" s="59"/>
      <c r="S3" s="59"/>
    </row>
    <row r="4" spans="1:19" ht="15.75" x14ac:dyDescent="0.25">
      <c r="A4" s="21" t="s">
        <v>24</v>
      </c>
      <c r="B4" s="4"/>
      <c r="C4" s="5"/>
      <c r="D4" s="5"/>
      <c r="E4" s="3"/>
      <c r="F4" s="57"/>
      <c r="G4" s="57"/>
      <c r="H4" s="57"/>
      <c r="I4" s="58"/>
      <c r="J4" s="58"/>
      <c r="M4" s="59"/>
      <c r="N4" s="59"/>
      <c r="O4" s="59"/>
      <c r="P4" s="59"/>
      <c r="Q4" s="59"/>
      <c r="R4" s="59"/>
      <c r="S4" s="59"/>
    </row>
    <row r="5" spans="1:19" ht="15.75" x14ac:dyDescent="0.25">
      <c r="A5" s="5" t="s">
        <v>167</v>
      </c>
      <c r="B5" s="4" t="s">
        <v>1</v>
      </c>
      <c r="C5" s="38">
        <v>89.05</v>
      </c>
      <c r="D5" s="4" t="s">
        <v>2</v>
      </c>
      <c r="E5" s="3"/>
      <c r="F5" s="57"/>
      <c r="G5" s="47" t="s">
        <v>12</v>
      </c>
      <c r="H5" s="47" t="s">
        <v>15</v>
      </c>
      <c r="I5" s="58"/>
      <c r="J5" s="58"/>
      <c r="M5" s="59"/>
      <c r="N5" s="59"/>
      <c r="O5" s="59"/>
      <c r="P5" s="59"/>
      <c r="Q5" s="59"/>
      <c r="R5" s="59"/>
      <c r="S5" s="59"/>
    </row>
    <row r="6" spans="1:19" ht="18.75" customHeight="1" x14ac:dyDescent="0.25">
      <c r="A6" s="5" t="s">
        <v>168</v>
      </c>
      <c r="B6" s="4" t="s">
        <v>3</v>
      </c>
      <c r="C6" s="38">
        <v>36</v>
      </c>
      <c r="D6" s="4" t="s">
        <v>2</v>
      </c>
      <c r="E6" s="3"/>
      <c r="F6" s="48">
        <v>0</v>
      </c>
      <c r="G6" s="48">
        <v>20</v>
      </c>
      <c r="H6" s="48">
        <v>20</v>
      </c>
      <c r="I6" s="33">
        <f>IF(G6&lt;=0,C27,'DSM-AS4600 (SA, 2005)-Ambient'!C50)</f>
        <v>38.888879205582846</v>
      </c>
      <c r="J6" s="34">
        <f>I6/$I$6</f>
        <v>1</v>
      </c>
      <c r="K6" s="45" t="s">
        <v>177</v>
      </c>
      <c r="L6" s="45"/>
      <c r="M6" s="56" t="s">
        <v>192</v>
      </c>
      <c r="N6" s="56"/>
      <c r="O6" s="56"/>
      <c r="P6" s="56"/>
      <c r="Q6" s="56"/>
      <c r="R6" s="56"/>
      <c r="S6" s="56"/>
    </row>
    <row r="7" spans="1:19" ht="18.75" customHeight="1" x14ac:dyDescent="0.25">
      <c r="A7" s="5" t="s">
        <v>169</v>
      </c>
      <c r="B7" s="4" t="s">
        <v>4</v>
      </c>
      <c r="C7" s="38">
        <v>6.5250000000000004</v>
      </c>
      <c r="D7" s="4" t="s">
        <v>2</v>
      </c>
      <c r="E7" s="3"/>
      <c r="F7" s="41">
        <v>30</v>
      </c>
      <c r="G7" s="41">
        <v>84.680167999999995</v>
      </c>
      <c r="H7" s="41">
        <v>62.937088000000003</v>
      </c>
      <c r="I7" s="35">
        <f>IF(G7&lt;=0,C27,'DSM -Temp (Sheet 1) '!C152)</f>
        <v>27.719333381009651</v>
      </c>
      <c r="J7" s="36">
        <f>I7/$I$6</f>
        <v>0.71278303585129532</v>
      </c>
      <c r="K7" s="45" t="s">
        <v>178</v>
      </c>
      <c r="L7" s="45"/>
      <c r="M7" s="49">
        <v>2</v>
      </c>
      <c r="N7" s="41"/>
      <c r="O7" t="s">
        <v>193</v>
      </c>
      <c r="P7" s="56" t="s">
        <v>194</v>
      </c>
      <c r="Q7" s="56"/>
      <c r="R7" s="56"/>
      <c r="S7" s="56"/>
    </row>
    <row r="8" spans="1:19" ht="18.75" customHeight="1" x14ac:dyDescent="0.25">
      <c r="A8" s="5" t="s">
        <v>27</v>
      </c>
      <c r="B8" s="4" t="s">
        <v>5</v>
      </c>
      <c r="C8" s="38">
        <v>0.95</v>
      </c>
      <c r="D8" s="4" t="s">
        <v>2</v>
      </c>
      <c r="E8" s="3"/>
      <c r="F8" s="41">
        <v>60</v>
      </c>
      <c r="G8" s="41">
        <v>147.55038500000001</v>
      </c>
      <c r="H8" s="41">
        <v>86.789742000000004</v>
      </c>
      <c r="I8" s="35">
        <f>IF(G8&lt;=0,C28,'DSM -Temp (Sheet 2)'!C152)</f>
        <v>22.814660109128628</v>
      </c>
      <c r="J8" s="36">
        <f>I8/$I$6</f>
        <v>0.58666283459908453</v>
      </c>
      <c r="K8" s="45" t="s">
        <v>179</v>
      </c>
      <c r="L8" s="45"/>
      <c r="M8" s="49">
        <v>3</v>
      </c>
      <c r="N8" s="35"/>
      <c r="O8" t="s">
        <v>193</v>
      </c>
      <c r="P8" s="56" t="s">
        <v>195</v>
      </c>
      <c r="Q8" s="56"/>
      <c r="R8" s="56"/>
      <c r="S8" s="56"/>
    </row>
    <row r="9" spans="1:19" ht="18.75" customHeight="1" x14ac:dyDescent="0.3">
      <c r="A9" s="5" t="s">
        <v>28</v>
      </c>
      <c r="B9" s="4" t="s">
        <v>109</v>
      </c>
      <c r="C9" s="38">
        <v>3000</v>
      </c>
      <c r="D9" s="4" t="s">
        <v>2</v>
      </c>
      <c r="E9" s="3"/>
      <c r="F9" s="41">
        <v>85</v>
      </c>
      <c r="G9" s="41">
        <v>317.86630200000002</v>
      </c>
      <c r="H9" s="41">
        <v>232.71762100000001</v>
      </c>
      <c r="I9" s="35">
        <f>IF(G9&lt;=0,C29,'DSM -Temp (Sheet 3)'!C152)</f>
        <v>18.281493859681952</v>
      </c>
      <c r="J9" s="36">
        <f t="shared" ref="J9:J16" si="0">I9/$I$6</f>
        <v>0.47009567344531439</v>
      </c>
      <c r="K9" s="45" t="s">
        <v>180</v>
      </c>
      <c r="L9" s="45"/>
      <c r="M9" s="46"/>
    </row>
    <row r="10" spans="1:19" ht="18.75" customHeight="1" x14ac:dyDescent="0.3">
      <c r="A10" s="5" t="s">
        <v>107</v>
      </c>
      <c r="B10" s="4" t="s">
        <v>108</v>
      </c>
      <c r="C10" s="38">
        <v>1000</v>
      </c>
      <c r="D10" s="4" t="s">
        <v>2</v>
      </c>
      <c r="E10" s="3"/>
      <c r="F10" s="41">
        <v>110</v>
      </c>
      <c r="G10" s="41">
        <v>360.11895800000002</v>
      </c>
      <c r="H10" s="41">
        <v>269.85098299999999</v>
      </c>
      <c r="I10" s="35">
        <f>IF(G10&lt;=0,C30,'DSM -Temp (Sheet 4)'!C152)</f>
        <v>17.104331254735591</v>
      </c>
      <c r="J10" s="36">
        <f t="shared" si="0"/>
        <v>0.4398257703523662</v>
      </c>
      <c r="K10" s="45" t="s">
        <v>181</v>
      </c>
      <c r="L10" s="45"/>
      <c r="M10" s="46"/>
    </row>
    <row r="11" spans="1:19" ht="18.75" customHeight="1" x14ac:dyDescent="0.3">
      <c r="A11" s="5" t="s">
        <v>29</v>
      </c>
      <c r="B11" s="4" t="s">
        <v>48</v>
      </c>
      <c r="C11" s="38">
        <v>160.34630000000001</v>
      </c>
      <c r="D11" s="4" t="s">
        <v>189</v>
      </c>
      <c r="E11" s="3"/>
      <c r="F11" s="41">
        <v>150</v>
      </c>
      <c r="G11" s="41">
        <v>415.96163899999999</v>
      </c>
      <c r="H11" s="41">
        <v>350.82693499999999</v>
      </c>
      <c r="I11" s="35">
        <f>IF(G11&lt;=0,C31,'DSM -Temp (Sheet 5)'!C152)</f>
        <v>16.689593500597645</v>
      </c>
      <c r="J11" s="36">
        <f t="shared" si="0"/>
        <v>0.42916108259046215</v>
      </c>
      <c r="K11" s="45" t="s">
        <v>182</v>
      </c>
      <c r="L11" s="45"/>
      <c r="M11" s="46"/>
      <c r="Q11" s="54">
        <f>G9-H9</f>
        <v>85.14868100000001</v>
      </c>
    </row>
    <row r="12" spans="1:19" ht="18.75" customHeight="1" x14ac:dyDescent="0.3">
      <c r="A12" s="5" t="s">
        <v>30</v>
      </c>
      <c r="B12" s="4" t="s">
        <v>50</v>
      </c>
      <c r="C12" s="39">
        <v>202187</v>
      </c>
      <c r="D12" s="4" t="s">
        <v>190</v>
      </c>
      <c r="E12" s="3"/>
      <c r="F12" s="41">
        <v>170</v>
      </c>
      <c r="G12" s="41">
        <v>453.06225599999999</v>
      </c>
      <c r="H12" s="41">
        <v>392.67617799999999</v>
      </c>
      <c r="I12" s="35">
        <f>IF(G12&lt;=0,C32,'DSM -Temp (Sheet 6)'!C152)</f>
        <v>15.526221590585758</v>
      </c>
      <c r="J12" s="36">
        <f t="shared" si="0"/>
        <v>0.39924579745555716</v>
      </c>
      <c r="K12" s="45" t="s">
        <v>183</v>
      </c>
      <c r="L12" s="45"/>
      <c r="M12" s="46"/>
      <c r="Q12" s="54">
        <f>G10-H10</f>
        <v>90.267975000000035</v>
      </c>
    </row>
    <row r="13" spans="1:19" ht="18.75" customHeight="1" x14ac:dyDescent="0.3">
      <c r="A13" s="5" t="s">
        <v>113</v>
      </c>
      <c r="B13" s="4" t="s">
        <v>112</v>
      </c>
      <c r="C13" s="39">
        <v>26513</v>
      </c>
      <c r="D13" s="4" t="s">
        <v>190</v>
      </c>
      <c r="E13" s="3"/>
      <c r="F13" s="41">
        <v>174</v>
      </c>
      <c r="G13" s="41">
        <v>476</v>
      </c>
      <c r="H13" s="41">
        <v>405</v>
      </c>
      <c r="I13" s="35">
        <f>IF(G12&lt;=0,C32,'DSM -Temp (Sheet 7)'!C152)</f>
        <v>14.272094566748201</v>
      </c>
      <c r="J13" s="36">
        <f>I13/$I$6</f>
        <v>0.36699680881261587</v>
      </c>
      <c r="K13" s="45" t="s">
        <v>184</v>
      </c>
      <c r="L13" s="45"/>
      <c r="M13" s="46"/>
    </row>
    <row r="14" spans="1:19" ht="18.75" customHeight="1" x14ac:dyDescent="0.25">
      <c r="A14" s="5"/>
      <c r="B14" s="4"/>
      <c r="C14" s="5"/>
      <c r="D14" s="4"/>
      <c r="E14" s="3"/>
      <c r="F14" s="41">
        <v>180</v>
      </c>
      <c r="G14" s="41">
        <v>510.65557776590549</v>
      </c>
      <c r="H14" s="41">
        <v>424.61038698585736</v>
      </c>
      <c r="I14" s="35">
        <f>IF(G12&lt;=0,C32,'DSM -Temp (Sheet 8)'!C152)</f>
        <v>12.579893015098616</v>
      </c>
      <c r="J14" s="36">
        <f>I14/$I$6</f>
        <v>0.32348304379244386</v>
      </c>
      <c r="K14" s="45" t="s">
        <v>185</v>
      </c>
      <c r="L14" s="45"/>
      <c r="M14" s="46"/>
    </row>
    <row r="15" spans="1:19" ht="18.75" customHeight="1" x14ac:dyDescent="0.25">
      <c r="A15" s="21" t="s">
        <v>170</v>
      </c>
      <c r="B15" s="4"/>
      <c r="C15" s="5"/>
      <c r="D15" s="4"/>
      <c r="E15" s="3"/>
      <c r="F15" s="41"/>
      <c r="G15" s="41"/>
      <c r="H15" s="41"/>
      <c r="I15" s="35" t="str">
        <f>IF(G15&lt;=0,C27,#REF!)</f>
        <v>-</v>
      </c>
      <c r="J15" s="36" t="e">
        <f t="shared" si="0"/>
        <v>#VALUE!</v>
      </c>
      <c r="K15" s="45" t="s">
        <v>186</v>
      </c>
      <c r="L15" s="45"/>
      <c r="M15" s="46"/>
    </row>
    <row r="16" spans="1:19" ht="18.75" customHeight="1" x14ac:dyDescent="0.3">
      <c r="A16" s="5" t="s">
        <v>33</v>
      </c>
      <c r="B16" s="4" t="s">
        <v>58</v>
      </c>
      <c r="C16" s="39">
        <v>200000</v>
      </c>
      <c r="D16" s="4" t="s">
        <v>6</v>
      </c>
      <c r="E16" s="3"/>
      <c r="F16" s="41"/>
      <c r="G16" s="41"/>
      <c r="H16" s="41"/>
      <c r="I16" s="35" t="str">
        <f>IF(G16&lt;=0,C27,#REF!)</f>
        <v>-</v>
      </c>
      <c r="J16" s="36" t="e">
        <f t="shared" si="0"/>
        <v>#VALUE!</v>
      </c>
      <c r="K16" s="45" t="s">
        <v>187</v>
      </c>
      <c r="L16" s="45"/>
      <c r="M16" s="46"/>
    </row>
    <row r="17" spans="1:19" ht="18.75" customHeight="1" x14ac:dyDescent="0.3">
      <c r="A17" s="5" t="s">
        <v>34</v>
      </c>
      <c r="B17" s="4" t="s">
        <v>59</v>
      </c>
      <c r="C17" s="38">
        <v>617.5</v>
      </c>
      <c r="D17" s="4" t="s">
        <v>6</v>
      </c>
      <c r="E17" s="3"/>
    </row>
    <row r="18" spans="1:19" ht="18.75" customHeight="1" x14ac:dyDescent="0.25">
      <c r="A18" s="5"/>
      <c r="B18" s="4"/>
      <c r="C18" s="5"/>
      <c r="D18" s="5"/>
      <c r="E18" s="3"/>
    </row>
    <row r="19" spans="1:19" ht="18.75" customHeight="1" x14ac:dyDescent="0.25">
      <c r="A19" s="21" t="s">
        <v>171</v>
      </c>
      <c r="B19" s="4"/>
      <c r="C19" s="5"/>
      <c r="D19" s="5"/>
      <c r="E19" s="3"/>
    </row>
    <row r="20" spans="1:19" ht="18.75" customHeight="1" x14ac:dyDescent="0.25">
      <c r="A20" s="4" t="s">
        <v>25</v>
      </c>
      <c r="B20" s="4"/>
      <c r="C20" s="5"/>
      <c r="D20" s="5"/>
      <c r="E20" s="3"/>
    </row>
    <row r="21" spans="1:19" ht="18.75" customHeight="1" x14ac:dyDescent="0.25">
      <c r="A21" s="5" t="s">
        <v>26</v>
      </c>
      <c r="B21" s="4"/>
      <c r="C21" s="50">
        <v>0.69269999999999998</v>
      </c>
      <c r="D21" s="5"/>
      <c r="E21" s="3"/>
    </row>
    <row r="22" spans="1:19" ht="18.75" customHeight="1" x14ac:dyDescent="0.25">
      <c r="A22" s="5" t="s">
        <v>130</v>
      </c>
      <c r="B22" s="4"/>
      <c r="C22" s="50">
        <v>0.63683999999999996</v>
      </c>
      <c r="D22" s="5"/>
      <c r="E22" s="3"/>
      <c r="R22">
        <v>0</v>
      </c>
      <c r="S22">
        <v>0.434</v>
      </c>
    </row>
    <row r="23" spans="1:19" ht="18.75" customHeight="1" x14ac:dyDescent="0.25">
      <c r="A23" s="5"/>
      <c r="B23" s="4"/>
      <c r="C23" s="5"/>
      <c r="D23" s="5"/>
      <c r="E23" s="3"/>
      <c r="R23">
        <v>176</v>
      </c>
      <c r="S23">
        <v>0.434</v>
      </c>
    </row>
    <row r="24" spans="1:19" ht="18.75" customHeight="1" x14ac:dyDescent="0.25">
      <c r="A24" s="4" t="s">
        <v>35</v>
      </c>
      <c r="B24" s="4"/>
      <c r="C24" s="5"/>
      <c r="D24" s="5"/>
      <c r="E24" s="3"/>
    </row>
    <row r="25" spans="1:19" ht="18.75" customHeight="1" x14ac:dyDescent="0.25">
      <c r="A25" s="5" t="s">
        <v>103</v>
      </c>
      <c r="B25" s="4"/>
      <c r="C25" s="40">
        <v>0.99658999999999998</v>
      </c>
      <c r="D25" s="5"/>
      <c r="E25" s="3"/>
      <c r="R25">
        <v>176</v>
      </c>
      <c r="S25">
        <v>0</v>
      </c>
    </row>
    <row r="26" spans="1:19" ht="18.75" customHeight="1" x14ac:dyDescent="0.25">
      <c r="A26" s="5"/>
      <c r="B26" s="4"/>
      <c r="C26" s="4"/>
      <c r="D26" s="5"/>
      <c r="E26" s="3"/>
      <c r="R26">
        <v>176</v>
      </c>
      <c r="S26">
        <v>1</v>
      </c>
    </row>
    <row r="27" spans="1:19" x14ac:dyDescent="0.25">
      <c r="C27" s="37" t="s">
        <v>193</v>
      </c>
    </row>
    <row r="30" spans="1:19" x14ac:dyDescent="0.25">
      <c r="R30" s="55">
        <v>0.4</v>
      </c>
      <c r="S30" s="55">
        <v>174.4</v>
      </c>
    </row>
  </sheetData>
  <mergeCells count="8">
    <mergeCell ref="M6:S6"/>
    <mergeCell ref="P7:S7"/>
    <mergeCell ref="P8:S8"/>
    <mergeCell ref="F3:F5"/>
    <mergeCell ref="G3:H4"/>
    <mergeCell ref="I3:I5"/>
    <mergeCell ref="J3:J5"/>
    <mergeCell ref="M3:S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Screen'!F13</f>
        <v>174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Screen'!G13</f>
        <v>476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Screen'!H13</f>
        <v>405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440.5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95500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114670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105085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109638.91948239527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227.41602029930263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290.13382826710904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257.53775671311098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269.33636556907032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1.3107445897740785E-5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11.756959473127964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2568679.9140625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69914186.121718749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349228631.69999999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395824057.00093746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46.503212919366234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1.9782129193662357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9.778746553761728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1.9782129193662357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1250366711.1407681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7063346312.2355738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1236949059.1297226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7099495714.5038786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5909477903.3113136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22559635700.321259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43.187089674447826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24.739408866095921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36.037265176151877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1.3212418156913066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20.798620378334736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0.75969864418076349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20.798620378334736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20.798620378334736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46.503212919366234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4424.7055592088172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1139528.7438346699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1468295.6769314343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0.88095937613975017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1051775.2668810289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17428.439126496127</v>
      </c>
    </row>
    <row r="113" spans="1:6" x14ac:dyDescent="0.25">
      <c r="A113" s="3">
        <v>2</v>
      </c>
      <c r="B113" s="18">
        <f>D112/1000</f>
        <v>17.428439126496126</v>
      </c>
      <c r="C113" s="16">
        <f>(1-B113/$C$80)</f>
        <v>0.29551917667762462</v>
      </c>
      <c r="D113" s="11">
        <f t="shared" si="1"/>
        <v>12572.091467217657</v>
      </c>
    </row>
    <row r="114" spans="1:6" x14ac:dyDescent="0.25">
      <c r="A114" s="3">
        <v>3</v>
      </c>
      <c r="B114" s="18">
        <f>D113/1000</f>
        <v>12.572091467217657</v>
      </c>
      <c r="C114" s="16">
        <f t="shared" si="0"/>
        <v>0.49181924534797361</v>
      </c>
      <c r="D114" s="11">
        <f t="shared" si="1"/>
        <v>14928.903478041379</v>
      </c>
    </row>
    <row r="115" spans="1:6" x14ac:dyDescent="0.25">
      <c r="A115" s="3">
        <v>4</v>
      </c>
      <c r="B115" s="18">
        <f t="shared" ref="B115:B121" si="2">D114/1000</f>
        <v>14.928903478041379</v>
      </c>
      <c r="C115" s="16">
        <f t="shared" si="0"/>
        <v>0.39655375118923442</v>
      </c>
      <c r="D115" s="11">
        <f t="shared" si="1"/>
        <v>13981.019809830892</v>
      </c>
    </row>
    <row r="116" spans="1:6" x14ac:dyDescent="0.25">
      <c r="A116" s="3">
        <v>5</v>
      </c>
      <c r="B116" s="18">
        <f t="shared" si="2"/>
        <v>13.981019809830892</v>
      </c>
      <c r="C116" s="16">
        <f t="shared" si="0"/>
        <v>0.43486847703175502</v>
      </c>
      <c r="D116" s="11">
        <f t="shared" si="1"/>
        <v>14396.806898750247</v>
      </c>
    </row>
    <row r="117" spans="1:6" x14ac:dyDescent="0.25">
      <c r="A117" s="3">
        <v>6</v>
      </c>
      <c r="B117" s="18">
        <f t="shared" si="2"/>
        <v>14.396806898750247</v>
      </c>
      <c r="C117" s="16">
        <f t="shared" si="0"/>
        <v>0.41806180670386484</v>
      </c>
      <c r="D117" s="11">
        <f t="shared" si="1"/>
        <v>14220.838420428807</v>
      </c>
    </row>
    <row r="118" spans="1:6" x14ac:dyDescent="0.25">
      <c r="A118" s="3">
        <v>7</v>
      </c>
      <c r="B118" s="18">
        <f t="shared" si="2"/>
        <v>14.220838420428807</v>
      </c>
      <c r="C118" s="16">
        <f t="shared" si="0"/>
        <v>0.42517468798869607</v>
      </c>
      <c r="D118" s="11">
        <f t="shared" si="1"/>
        <v>14296.478535406095</v>
      </c>
    </row>
    <row r="119" spans="1:6" x14ac:dyDescent="0.25">
      <c r="A119" s="3">
        <v>8</v>
      </c>
      <c r="B119" s="18">
        <f t="shared" si="2"/>
        <v>14.296478535406095</v>
      </c>
      <c r="C119" s="16">
        <f t="shared" si="0"/>
        <v>0.4221172133583726</v>
      </c>
      <c r="D119" s="11">
        <f t="shared" si="1"/>
        <v>14264.178835602766</v>
      </c>
    </row>
    <row r="120" spans="1:6" x14ac:dyDescent="0.25">
      <c r="A120" s="3">
        <v>9</v>
      </c>
      <c r="B120" s="18">
        <f t="shared" si="2"/>
        <v>14.264178835602767</v>
      </c>
      <c r="C120" s="16">
        <f t="shared" si="0"/>
        <v>0.42342281043137275</v>
      </c>
      <c r="D120" s="11">
        <f t="shared" si="1"/>
        <v>14278.010567596682</v>
      </c>
    </row>
    <row r="121" spans="1:6" x14ac:dyDescent="0.25">
      <c r="A121" s="3">
        <v>10</v>
      </c>
      <c r="B121" s="18">
        <f t="shared" si="2"/>
        <v>14.278010567596683</v>
      </c>
      <c r="C121" s="16">
        <f t="shared" si="0"/>
        <v>0.42286371332162442</v>
      </c>
      <c r="D121" s="11">
        <f t="shared" si="1"/>
        <v>14272.094566748201</v>
      </c>
    </row>
    <row r="123" spans="1:6" x14ac:dyDescent="0.25">
      <c r="A123" s="30" t="s">
        <v>153</v>
      </c>
      <c r="B123" s="30"/>
      <c r="C123" s="31"/>
      <c r="D123" s="30">
        <f>D121/1000</f>
        <v>14.272094566748201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1006248.9292714696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1468295.6769314343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0.82783913943032672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966225.7883492097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19949.140443131993</v>
      </c>
    </row>
    <row r="139" spans="1:4" x14ac:dyDescent="0.25">
      <c r="A139" s="3">
        <v>2</v>
      </c>
      <c r="B139" s="18">
        <f>D138/1000</f>
        <v>19.949140443131995</v>
      </c>
      <c r="C139" s="16">
        <f t="shared" si="3"/>
        <v>0.19362905754505477</v>
      </c>
      <c r="D139" s="11">
        <f t="shared" si="4"/>
        <v>17049.212202439412</v>
      </c>
    </row>
    <row r="140" spans="1:4" x14ac:dyDescent="0.25">
      <c r="A140" s="3">
        <v>3</v>
      </c>
      <c r="B140" s="18">
        <f>D139/1000</f>
        <v>17.049212202439413</v>
      </c>
      <c r="C140" s="16">
        <f t="shared" si="3"/>
        <v>0.31084803623564039</v>
      </c>
      <c r="D140" s="11">
        <f t="shared" si="4"/>
        <v>18292.743879542653</v>
      </c>
    </row>
    <row r="141" spans="1:4" x14ac:dyDescent="0.25">
      <c r="A141" s="3">
        <v>4</v>
      </c>
      <c r="B141" s="18">
        <f>D140/1000</f>
        <v>18.292743879542652</v>
      </c>
      <c r="C141" s="16">
        <f t="shared" si="3"/>
        <v>0.26058282238861774</v>
      </c>
      <c r="D141" s="11">
        <f t="shared" si="4"/>
        <v>17877.265923704505</v>
      </c>
    </row>
    <row r="142" spans="1:4" x14ac:dyDescent="0.25">
      <c r="A142" s="3">
        <v>5</v>
      </c>
      <c r="B142" s="18">
        <f>D141/1000</f>
        <v>17.877265923704506</v>
      </c>
      <c r="C142" s="16">
        <f t="shared" si="3"/>
        <v>0.27737699714384145</v>
      </c>
      <c r="D142" s="11">
        <f t="shared" si="4"/>
        <v>18030.603364888389</v>
      </c>
    </row>
    <row r="143" spans="1:4" x14ac:dyDescent="0.25">
      <c r="A143" s="3">
        <v>6</v>
      </c>
      <c r="B143" s="18">
        <f>D142/1000</f>
        <v>18.030603364888389</v>
      </c>
      <c r="C143" s="16">
        <f t="shared" si="3"/>
        <v>0.27117889265339734</v>
      </c>
      <c r="D143" s="11">
        <f t="shared" si="4"/>
        <v>17975.92337247399</v>
      </c>
    </row>
    <row r="144" spans="1:4" ht="18.75" customHeight="1" x14ac:dyDescent="0.25">
      <c r="A144" s="3">
        <v>7</v>
      </c>
      <c r="B144" s="18">
        <f t="shared" ref="B144:B147" si="5">D143/1000</f>
        <v>17.975923372473989</v>
      </c>
      <c r="C144" s="16">
        <f t="shared" si="3"/>
        <v>0.27338913109160579</v>
      </c>
      <c r="D144" s="11">
        <f t="shared" si="4"/>
        <v>17995.668302401809</v>
      </c>
    </row>
    <row r="145" spans="1:5" x14ac:dyDescent="0.25">
      <c r="A145" s="3">
        <v>8</v>
      </c>
      <c r="B145" s="18">
        <f t="shared" si="5"/>
        <v>17.99566830240181</v>
      </c>
      <c r="C145" s="16">
        <f t="shared" si="3"/>
        <v>0.27259101461134982</v>
      </c>
      <c r="D145" s="11">
        <f t="shared" si="4"/>
        <v>17988.570358936297</v>
      </c>
    </row>
    <row r="146" spans="1:5" x14ac:dyDescent="0.25">
      <c r="A146" s="3">
        <v>9</v>
      </c>
      <c r="B146" s="18">
        <f t="shared" si="5"/>
        <v>17.988570358936297</v>
      </c>
      <c r="C146" s="16">
        <f t="shared" si="3"/>
        <v>0.27287792298106606</v>
      </c>
      <c r="D146" s="11">
        <f t="shared" si="4"/>
        <v>17991.126075491738</v>
      </c>
    </row>
    <row r="147" spans="1:5" x14ac:dyDescent="0.25">
      <c r="A147" s="3">
        <v>10</v>
      </c>
      <c r="B147" s="18">
        <f t="shared" si="5"/>
        <v>17.991126075491739</v>
      </c>
      <c r="C147" s="16">
        <f t="shared" si="3"/>
        <v>0.27277461749914145</v>
      </c>
      <c r="D147" s="11">
        <f t="shared" si="4"/>
        <v>17990.206388775194</v>
      </c>
    </row>
    <row r="149" spans="1:5" x14ac:dyDescent="0.25">
      <c r="A149" s="30" t="s">
        <v>152</v>
      </c>
      <c r="B149" s="30"/>
      <c r="C149" s="31"/>
      <c r="D149" s="30">
        <f>D147/1000</f>
        <v>17.990206388775192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14.272094566748201</v>
      </c>
      <c r="C152" s="28">
        <f>IF(F123=TRUE,D149,MIN(D149,D123))</f>
        <v>14.272094566748201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3"/>
  <sheetViews>
    <sheetView zoomScale="85" zoomScaleNormal="85" workbookViewId="0">
      <selection activeCell="O32" sqref="O3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Screen'!F14</f>
        <v>180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Screen'!G14</f>
        <v>510.65557776590549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Screen'!H14</f>
        <v>424.61038698585736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467.6329823758814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86142.994003205531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109375.19551381853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97759.09475851203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101995.54188419234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200.0596144469998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271.79749642992886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234.31255993078548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245.30006930073858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1.3250804050834553E-5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14.404143266265924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2317002.915531314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66685949.038567074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333103251.68928945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368229542.7135492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47.102061863744247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2.5770618637442482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11.827081402521676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2.5770618637442482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1159601564.3606563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6536430188.0073957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1143793713.4134901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6582407242.9343615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5520064411.8329439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20942297120.548847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39.332958502117023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22.965798647765542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33.524959996127492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1.3086922499514637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19.205984437545609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0.75689241338186408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19.205984437545609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19.205984437545609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47.102061863744247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4359.1640043466386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1021406.8770165946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1365934.7786520782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0.8647377278533972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954018.4690691533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15512.480098800221</v>
      </c>
    </row>
    <row r="113" spans="1:6" x14ac:dyDescent="0.25">
      <c r="A113" s="3">
        <v>2</v>
      </c>
      <c r="B113" s="18">
        <f>D112/1000</f>
        <v>15.512480098800221</v>
      </c>
      <c r="C113" s="16">
        <f>(1-B113/$C$80)</f>
        <v>0.3245399240531307</v>
      </c>
      <c r="D113" s="11">
        <f t="shared" si="1"/>
        <v>11078.34820872136</v>
      </c>
    </row>
    <row r="114" spans="1:6" x14ac:dyDescent="0.25">
      <c r="A114" s="3">
        <v>3</v>
      </c>
      <c r="B114" s="18">
        <f>D113/1000</f>
        <v>11.07834820872136</v>
      </c>
      <c r="C114" s="16">
        <f t="shared" si="0"/>
        <v>0.51761537324985518</v>
      </c>
      <c r="D114" s="11">
        <f t="shared" si="1"/>
        <v>13154.856600758289</v>
      </c>
    </row>
    <row r="115" spans="1:6" x14ac:dyDescent="0.25">
      <c r="A115" s="3">
        <v>4</v>
      </c>
      <c r="B115" s="18">
        <f t="shared" ref="B115:B121" si="2">D114/1000</f>
        <v>13.154856600758288</v>
      </c>
      <c r="C115" s="16">
        <f t="shared" si="0"/>
        <v>0.42719794758636931</v>
      </c>
      <c r="D115" s="11">
        <f t="shared" si="1"/>
        <v>12332.475720510429</v>
      </c>
    </row>
    <row r="116" spans="1:6" x14ac:dyDescent="0.25">
      <c r="A116" s="3">
        <v>5</v>
      </c>
      <c r="B116" s="18">
        <f t="shared" si="2"/>
        <v>12.332475720510429</v>
      </c>
      <c r="C116" s="16">
        <f t="shared" si="0"/>
        <v>0.46300688647244947</v>
      </c>
      <c r="D116" s="11">
        <f t="shared" si="1"/>
        <v>12683.539797855428</v>
      </c>
    </row>
    <row r="117" spans="1:6" x14ac:dyDescent="0.25">
      <c r="A117" s="3">
        <v>6</v>
      </c>
      <c r="B117" s="18">
        <f t="shared" si="2"/>
        <v>12.683539797855428</v>
      </c>
      <c r="C117" s="16">
        <f t="shared" si="0"/>
        <v>0.44772049984469087</v>
      </c>
      <c r="D117" s="11">
        <f t="shared" si="1"/>
        <v>12538.159524907418</v>
      </c>
    </row>
    <row r="118" spans="1:6" x14ac:dyDescent="0.25">
      <c r="A118" s="3">
        <v>7</v>
      </c>
      <c r="B118" s="18">
        <f t="shared" si="2"/>
        <v>12.538159524907417</v>
      </c>
      <c r="C118" s="16">
        <f t="shared" si="0"/>
        <v>0.45405079452234431</v>
      </c>
      <c r="D118" s="11">
        <f t="shared" si="1"/>
        <v>12599.142426899203</v>
      </c>
    </row>
    <row r="119" spans="1:6" x14ac:dyDescent="0.25">
      <c r="A119" s="3">
        <v>8</v>
      </c>
      <c r="B119" s="18">
        <f t="shared" si="2"/>
        <v>12.599142426899203</v>
      </c>
      <c r="C119" s="16">
        <f t="shared" si="0"/>
        <v>0.4513954154115587</v>
      </c>
      <c r="D119" s="11">
        <f t="shared" si="1"/>
        <v>12573.698170072041</v>
      </c>
    </row>
    <row r="120" spans="1:6" x14ac:dyDescent="0.25">
      <c r="A120" s="3">
        <v>9</v>
      </c>
      <c r="B120" s="18">
        <f t="shared" si="2"/>
        <v>12.57369817007204</v>
      </c>
      <c r="C120" s="16">
        <f t="shared" si="0"/>
        <v>0.45250333494082962</v>
      </c>
      <c r="D120" s="11">
        <f t="shared" si="1"/>
        <v>12584.338216081849</v>
      </c>
    </row>
    <row r="121" spans="1:6" x14ac:dyDescent="0.25">
      <c r="A121" s="3">
        <v>10</v>
      </c>
      <c r="B121" s="18">
        <f t="shared" si="2"/>
        <v>12.58433821608185</v>
      </c>
      <c r="C121" s="16">
        <f t="shared" si="0"/>
        <v>0.45204003531110626</v>
      </c>
      <c r="D121" s="11">
        <f t="shared" si="1"/>
        <v>12579.893015098616</v>
      </c>
    </row>
    <row r="123" spans="1:6" x14ac:dyDescent="0.25">
      <c r="A123" s="30" t="s">
        <v>153</v>
      </c>
      <c r="B123" s="30"/>
      <c r="C123" s="31"/>
      <c r="D123" s="30">
        <f>D121/1000</f>
        <v>12.579893015098616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872092.67002082826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1365934.7786520782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0.79903598173424017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856236.81641158531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18156.445970443187</v>
      </c>
    </row>
    <row r="139" spans="1:4" x14ac:dyDescent="0.25">
      <c r="A139" s="3">
        <v>2</v>
      </c>
      <c r="B139" s="18">
        <f>D138/1000</f>
        <v>18.156445970443187</v>
      </c>
      <c r="C139" s="16">
        <f t="shared" si="3"/>
        <v>0.20941369168497348</v>
      </c>
      <c r="D139" s="11">
        <f t="shared" si="4"/>
        <v>15051.311882063785</v>
      </c>
    </row>
    <row r="140" spans="1:4" x14ac:dyDescent="0.25">
      <c r="A140" s="3">
        <v>3</v>
      </c>
      <c r="B140" s="18">
        <f>D139/1000</f>
        <v>15.051311882063784</v>
      </c>
      <c r="C140" s="16">
        <f t="shared" si="3"/>
        <v>0.34462057632260046</v>
      </c>
      <c r="D140" s="11">
        <f t="shared" si="4"/>
        <v>16447.197166886359</v>
      </c>
    </row>
    <row r="141" spans="1:4" x14ac:dyDescent="0.25">
      <c r="A141" s="3">
        <v>4</v>
      </c>
      <c r="B141" s="18">
        <f>D140/1000</f>
        <v>16.447197166886358</v>
      </c>
      <c r="C141" s="16">
        <f t="shared" si="3"/>
        <v>0.28383952941751545</v>
      </c>
      <c r="D141" s="11">
        <f t="shared" si="4"/>
        <v>15956.389248168514</v>
      </c>
    </row>
    <row r="142" spans="1:4" x14ac:dyDescent="0.25">
      <c r="A142" s="3">
        <v>5</v>
      </c>
      <c r="B142" s="18">
        <f>D141/1000</f>
        <v>15.956389248168515</v>
      </c>
      <c r="C142" s="16">
        <f t="shared" si="3"/>
        <v>0.30521078352652931</v>
      </c>
      <c r="D142" s="11">
        <f t="shared" si="4"/>
        <v>16147.69737821743</v>
      </c>
    </row>
    <row r="143" spans="1:4" x14ac:dyDescent="0.25">
      <c r="A143" s="3">
        <v>6</v>
      </c>
      <c r="B143" s="18">
        <f>D142/1000</f>
        <v>16.14769737821743</v>
      </c>
      <c r="C143" s="16">
        <f t="shared" si="3"/>
        <v>0.29688065170820788</v>
      </c>
      <c r="D143" s="11">
        <f t="shared" si="4"/>
        <v>16075.870638078834</v>
      </c>
    </row>
    <row r="144" spans="1:4" ht="18.75" customHeight="1" x14ac:dyDescent="0.25">
      <c r="A144" s="3">
        <v>7</v>
      </c>
      <c r="B144" s="18">
        <f t="shared" ref="B144:B147" si="5">D143/1000</f>
        <v>16.075870638078833</v>
      </c>
      <c r="C144" s="16">
        <f t="shared" si="3"/>
        <v>0.30000820417177454</v>
      </c>
      <c r="D144" s="11">
        <f t="shared" si="4"/>
        <v>16103.230129885849</v>
      </c>
    </row>
    <row r="145" spans="1:5" x14ac:dyDescent="0.25">
      <c r="A145" s="3">
        <v>8</v>
      </c>
      <c r="B145" s="18">
        <f t="shared" si="5"/>
        <v>16.103230129885848</v>
      </c>
      <c r="C145" s="16">
        <f t="shared" si="3"/>
        <v>0.29881688954663843</v>
      </c>
      <c r="D145" s="11">
        <f t="shared" si="4"/>
        <v>16092.865220222688</v>
      </c>
    </row>
    <row r="146" spans="1:5" x14ac:dyDescent="0.25">
      <c r="A146" s="3">
        <v>9</v>
      </c>
      <c r="B146" s="18">
        <f t="shared" si="5"/>
        <v>16.092865220222688</v>
      </c>
      <c r="C146" s="16">
        <f t="shared" si="3"/>
        <v>0.29926820891167027</v>
      </c>
      <c r="D146" s="11">
        <f t="shared" si="4"/>
        <v>16096.8000152351</v>
      </c>
    </row>
    <row r="147" spans="1:5" x14ac:dyDescent="0.25">
      <c r="A147" s="3">
        <v>10</v>
      </c>
      <c r="B147" s="18">
        <f t="shared" si="5"/>
        <v>16.0968000152351</v>
      </c>
      <c r="C147" s="16">
        <f t="shared" si="3"/>
        <v>0.2990968760931273</v>
      </c>
      <c r="D147" s="11">
        <f t="shared" si="4"/>
        <v>16095.307434371189</v>
      </c>
    </row>
    <row r="149" spans="1:5" x14ac:dyDescent="0.25">
      <c r="A149" s="30" t="s">
        <v>152</v>
      </c>
      <c r="B149" s="30"/>
      <c r="C149" s="31"/>
      <c r="D149" s="30">
        <f>D147/1000</f>
        <v>16.09530743437119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12.579893015098616</v>
      </c>
      <c r="C152" s="28">
        <f>IF(F123=TRUE,D149,MIN(D149,D123))</f>
        <v>12.579893015098616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13" sqref="F13"/>
    </sheetView>
  </sheetViews>
  <sheetFormatPr defaultRowHeight="15" x14ac:dyDescent="0.25"/>
  <sheetData>
    <row r="1" spans="1:6" x14ac:dyDescent="0.25">
      <c r="A1">
        <v>84.680167999999995</v>
      </c>
      <c r="B1">
        <v>62.169303999999997</v>
      </c>
      <c r="C1">
        <v>62.937088000000003</v>
      </c>
    </row>
    <row r="2" spans="1:6" x14ac:dyDescent="0.25">
      <c r="A2">
        <v>147.55038500000001</v>
      </c>
      <c r="B2">
        <v>86.375174999999999</v>
      </c>
      <c r="C2">
        <v>86.789742000000004</v>
      </c>
    </row>
    <row r="3" spans="1:6" x14ac:dyDescent="0.25">
      <c r="A3">
        <v>347.71676600000001</v>
      </c>
      <c r="B3">
        <v>238.18895000000001</v>
      </c>
      <c r="C3">
        <v>244.65303</v>
      </c>
    </row>
    <row r="4" spans="1:6" x14ac:dyDescent="0.25">
      <c r="A4">
        <v>362.96585099999999</v>
      </c>
      <c r="B4">
        <v>285.04296900000003</v>
      </c>
      <c r="C4">
        <v>281.92465199999998</v>
      </c>
    </row>
    <row r="5" spans="1:6" x14ac:dyDescent="0.25">
      <c r="A5">
        <v>415.96163899999999</v>
      </c>
      <c r="B5">
        <v>379.559753</v>
      </c>
      <c r="C5">
        <v>350.82693499999999</v>
      </c>
    </row>
    <row r="6" spans="1:6" x14ac:dyDescent="0.25">
      <c r="A6">
        <v>458.76711999999998</v>
      </c>
      <c r="B6">
        <v>437.77081299999998</v>
      </c>
      <c r="C6">
        <v>410.98623700000002</v>
      </c>
    </row>
    <row r="9" spans="1:6" x14ac:dyDescent="0.25">
      <c r="A9">
        <v>84.680167999999995</v>
      </c>
      <c r="B9">
        <v>62.937088000000003</v>
      </c>
      <c r="C9">
        <v>62.169303999999997</v>
      </c>
      <c r="E9">
        <v>84.680167999999995</v>
      </c>
      <c r="F9">
        <v>62.937088000000003</v>
      </c>
    </row>
    <row r="10" spans="1:6" x14ac:dyDescent="0.25">
      <c r="A10">
        <v>147.55038500000001</v>
      </c>
      <c r="B10">
        <v>86.789742000000004</v>
      </c>
      <c r="C10">
        <v>86.375174999999999</v>
      </c>
      <c r="E10">
        <v>147.55038500000001</v>
      </c>
      <c r="F10">
        <v>86.789742000000004</v>
      </c>
    </row>
    <row r="11" spans="1:6" x14ac:dyDescent="0.25">
      <c r="A11">
        <v>347.71676600000001</v>
      </c>
      <c r="B11">
        <v>244.65303</v>
      </c>
      <c r="C11">
        <v>238.18895000000001</v>
      </c>
      <c r="E11">
        <v>317.86630200000002</v>
      </c>
      <c r="F11">
        <v>232.71762100000001</v>
      </c>
    </row>
    <row r="12" spans="1:6" x14ac:dyDescent="0.25">
      <c r="A12">
        <v>360.11895800000002</v>
      </c>
      <c r="B12">
        <v>269.85098299999999</v>
      </c>
      <c r="C12">
        <v>267.00473</v>
      </c>
      <c r="E12">
        <v>360.11895800000002</v>
      </c>
      <c r="F12">
        <v>269.85098299999999</v>
      </c>
    </row>
    <row r="13" spans="1:6" x14ac:dyDescent="0.25">
      <c r="A13">
        <v>396.79907200000002</v>
      </c>
      <c r="B13">
        <v>324.59774800000002</v>
      </c>
      <c r="C13">
        <v>348.52832000000001</v>
      </c>
      <c r="E13">
        <v>415.96163899999999</v>
      </c>
      <c r="F13">
        <v>350.82693499999999</v>
      </c>
    </row>
    <row r="14" spans="1:6" x14ac:dyDescent="0.25">
      <c r="A14">
        <v>458.76711999999998</v>
      </c>
      <c r="B14">
        <v>410.98623700000002</v>
      </c>
      <c r="C14">
        <v>437.77081299999998</v>
      </c>
      <c r="E14">
        <v>458.76711999999998</v>
      </c>
      <c r="F14">
        <v>410.98623700000002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53"/>
  <sheetViews>
    <sheetView topLeftCell="A16" zoomScale="85" zoomScaleNormal="85" workbookViewId="0">
      <selection activeCell="J26" sqref="J26"/>
    </sheetView>
  </sheetViews>
  <sheetFormatPr defaultRowHeight="15.75" x14ac:dyDescent="0.25"/>
  <cols>
    <col min="1" max="1" width="62.140625" style="3" customWidth="1"/>
    <col min="2" max="2" width="13.140625" style="2" customWidth="1"/>
    <col min="3" max="3" width="15" style="3" bestFit="1" customWidth="1"/>
    <col min="4" max="4" width="11.140625" style="3" customWidth="1"/>
    <col min="5" max="5" width="9.140625" style="3"/>
    <col min="6" max="6" width="18.140625" style="3" customWidth="1"/>
    <col min="7" max="7" width="12.28515625" style="3" customWidth="1"/>
    <col min="8" max="16384" width="9.140625" style="3"/>
  </cols>
  <sheetData>
    <row r="1" spans="1:7" x14ac:dyDescent="0.25">
      <c r="A1" s="1" t="s">
        <v>131</v>
      </c>
    </row>
    <row r="2" spans="1:7" x14ac:dyDescent="0.25">
      <c r="A2" s="2" t="s">
        <v>0</v>
      </c>
    </row>
    <row r="4" spans="1:7" ht="21" customHeight="1" x14ac:dyDescent="0.25">
      <c r="A4" s="21" t="s">
        <v>24</v>
      </c>
      <c r="B4" s="4"/>
      <c r="C4" s="5"/>
      <c r="D4" s="5"/>
      <c r="F4" s="60" t="s">
        <v>151</v>
      </c>
      <c r="G4" s="60"/>
    </row>
    <row r="5" spans="1:7" ht="20.25" customHeight="1" x14ac:dyDescent="0.25">
      <c r="A5" s="5" t="s">
        <v>167</v>
      </c>
      <c r="B5" s="4" t="s">
        <v>1</v>
      </c>
      <c r="C5" s="6">
        <v>88.05</v>
      </c>
      <c r="D5" s="5" t="s">
        <v>2</v>
      </c>
      <c r="F5" s="60"/>
      <c r="G5" s="60"/>
    </row>
    <row r="6" spans="1:7" ht="20.25" customHeight="1" x14ac:dyDescent="0.25">
      <c r="A6" s="5" t="s">
        <v>168</v>
      </c>
      <c r="B6" s="4" t="s">
        <v>3</v>
      </c>
      <c r="C6" s="6">
        <v>35.049999999999997</v>
      </c>
      <c r="D6" s="5" t="s">
        <v>2</v>
      </c>
      <c r="F6" s="60"/>
      <c r="G6" s="60"/>
    </row>
    <row r="7" spans="1:7" ht="20.25" customHeight="1" x14ac:dyDescent="0.25">
      <c r="A7" s="5" t="s">
        <v>169</v>
      </c>
      <c r="B7" s="4" t="s">
        <v>4</v>
      </c>
      <c r="C7" s="6">
        <v>6.5250000000000004</v>
      </c>
      <c r="D7" s="5" t="s">
        <v>2</v>
      </c>
      <c r="F7" s="60"/>
      <c r="G7" s="60"/>
    </row>
    <row r="8" spans="1:7" ht="20.25" customHeight="1" x14ac:dyDescent="0.25">
      <c r="A8" s="5" t="s">
        <v>27</v>
      </c>
      <c r="B8" s="4" t="s">
        <v>5</v>
      </c>
      <c r="C8" s="6">
        <v>0.95</v>
      </c>
      <c r="D8" s="5" t="s">
        <v>2</v>
      </c>
      <c r="F8" s="61">
        <f>MIN($C$38,$C$43,$C$48)/1000</f>
        <v>38.888879205582846</v>
      </c>
      <c r="G8" s="62" t="s">
        <v>8</v>
      </c>
    </row>
    <row r="9" spans="1:7" ht="20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61"/>
      <c r="G9" s="62"/>
    </row>
    <row r="10" spans="1:7" ht="17.25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</row>
    <row r="11" spans="1:7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7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7" ht="19.5" x14ac:dyDescent="0.3">
      <c r="A13" s="5" t="s">
        <v>113</v>
      </c>
      <c r="B13" s="4" t="s">
        <v>112</v>
      </c>
      <c r="C13" s="22">
        <f>'Input-Output Screen'!C13</f>
        <v>26513</v>
      </c>
      <c r="D13" s="5" t="s">
        <v>51</v>
      </c>
    </row>
    <row r="14" spans="1:7" x14ac:dyDescent="0.25">
      <c r="A14" s="5"/>
      <c r="B14" s="4"/>
      <c r="C14" s="5"/>
      <c r="D14" s="5"/>
    </row>
    <row r="15" spans="1:7" ht="18.75" x14ac:dyDescent="0.25">
      <c r="A15" s="21" t="s">
        <v>137</v>
      </c>
      <c r="B15" s="4"/>
      <c r="C15" s="5"/>
      <c r="D15" s="5"/>
    </row>
    <row r="16" spans="1:7" ht="17.25" x14ac:dyDescent="0.3">
      <c r="A16" s="5" t="s">
        <v>33</v>
      </c>
      <c r="B16" s="4" t="s">
        <v>58</v>
      </c>
      <c r="C16" s="22">
        <f>'Input-Output Screen'!C16</f>
        <v>200000</v>
      </c>
      <c r="D16" s="5" t="s">
        <v>6</v>
      </c>
    </row>
    <row r="17" spans="1:4" ht="17.25" x14ac:dyDescent="0.3">
      <c r="A17" s="5" t="s">
        <v>34</v>
      </c>
      <c r="B17" s="4" t="s">
        <v>59</v>
      </c>
      <c r="C17" s="6">
        <f>'Input-Output Screen'!C17</f>
        <v>617.5</v>
      </c>
      <c r="D17" s="5" t="s">
        <v>6</v>
      </c>
    </row>
    <row r="18" spans="1:4" x14ac:dyDescent="0.25">
      <c r="A18" s="5"/>
      <c r="B18" s="4"/>
      <c r="C18" s="5"/>
      <c r="D18" s="5"/>
    </row>
    <row r="19" spans="1:4" x14ac:dyDescent="0.25">
      <c r="A19" s="21" t="s">
        <v>106</v>
      </c>
      <c r="B19" s="4"/>
      <c r="C19" s="5"/>
      <c r="D19" s="5"/>
    </row>
    <row r="20" spans="1:4" ht="18.75" x14ac:dyDescent="0.25">
      <c r="A20" s="5" t="s">
        <v>126</v>
      </c>
      <c r="B20" s="4"/>
      <c r="C20" s="24">
        <f>'Input-Output Screen'!C21</f>
        <v>0.69269999999999998</v>
      </c>
      <c r="D20" s="5"/>
    </row>
    <row r="21" spans="1:4" ht="18.75" customHeight="1" x14ac:dyDescent="0.25">
      <c r="A21" s="5" t="s">
        <v>130</v>
      </c>
      <c r="B21" s="4"/>
      <c r="C21" s="24">
        <f>'Input-Output Screen'!C22</f>
        <v>0.63683999999999996</v>
      </c>
      <c r="D21" s="5"/>
    </row>
    <row r="22" spans="1:4" x14ac:dyDescent="0.25">
      <c r="A22" s="5"/>
      <c r="B22" s="5"/>
      <c r="C22" s="5"/>
      <c r="D22" s="5"/>
    </row>
    <row r="24" spans="1:4" x14ac:dyDescent="0.25">
      <c r="A24" s="1" t="s">
        <v>111</v>
      </c>
    </row>
    <row r="25" spans="1:4" ht="17.25" x14ac:dyDescent="0.3">
      <c r="A25" s="3" t="s">
        <v>127</v>
      </c>
      <c r="B25" s="2" t="s">
        <v>132</v>
      </c>
      <c r="C25" s="7">
        <f>($C$12/$C$11)^0.5</f>
        <v>35.509711401881709</v>
      </c>
      <c r="D25" s="3" t="s">
        <v>2</v>
      </c>
    </row>
    <row r="26" spans="1:4" ht="17.25" x14ac:dyDescent="0.3">
      <c r="A26" s="3" t="s">
        <v>128</v>
      </c>
      <c r="B26" s="2" t="s">
        <v>133</v>
      </c>
      <c r="C26" s="7">
        <f>($C$13/$C$11)^0.5</f>
        <v>12.858785872421224</v>
      </c>
      <c r="D26" s="3" t="s">
        <v>2</v>
      </c>
    </row>
    <row r="28" spans="1:4" ht="17.25" x14ac:dyDescent="0.3">
      <c r="A28" s="1" t="s">
        <v>138</v>
      </c>
    </row>
    <row r="29" spans="1:4" x14ac:dyDescent="0.25">
      <c r="A29" s="3" t="s">
        <v>110</v>
      </c>
    </row>
    <row r="30" spans="1:4" ht="17.25" x14ac:dyDescent="0.3">
      <c r="A30" s="3" t="s">
        <v>114</v>
      </c>
      <c r="B30" s="2" t="s">
        <v>125</v>
      </c>
      <c r="C30" s="8">
        <f>(3.141592654)^2*$C$16/($C$9/$C$25)^2</f>
        <v>276.55500148590505</v>
      </c>
      <c r="D30" s="3" t="s">
        <v>129</v>
      </c>
    </row>
    <row r="31" spans="1:4" ht="17.25" x14ac:dyDescent="0.3">
      <c r="A31" s="3" t="s">
        <v>115</v>
      </c>
      <c r="B31" s="2" t="s">
        <v>124</v>
      </c>
      <c r="C31" s="8">
        <f>(3.141592654)^2*$C$16/($C$10/$C$26)^2</f>
        <v>326.38460825652589</v>
      </c>
      <c r="D31" s="3" t="s">
        <v>6</v>
      </c>
    </row>
    <row r="32" spans="1:4" ht="17.25" x14ac:dyDescent="0.3">
      <c r="A32" s="3" t="s">
        <v>116</v>
      </c>
      <c r="B32" s="2" t="s">
        <v>123</v>
      </c>
      <c r="C32" s="8">
        <f>MIN(C30:C31)</f>
        <v>276.55500148590505</v>
      </c>
      <c r="D32" s="3" t="s">
        <v>6</v>
      </c>
    </row>
    <row r="33" spans="1:6" x14ac:dyDescent="0.25">
      <c r="C33" s="8"/>
    </row>
    <row r="34" spans="1:6" ht="17.25" x14ac:dyDescent="0.3">
      <c r="A34" s="3" t="s">
        <v>117</v>
      </c>
      <c r="B34" s="2" t="s">
        <v>122</v>
      </c>
      <c r="C34" s="23">
        <f>C11*C32</f>
        <v>44344.57123475938</v>
      </c>
      <c r="D34" s="3" t="s">
        <v>118</v>
      </c>
    </row>
    <row r="35" spans="1:6" ht="17.25" x14ac:dyDescent="0.3">
      <c r="A35" s="3" t="s">
        <v>119</v>
      </c>
      <c r="B35" s="2" t="s">
        <v>121</v>
      </c>
      <c r="C35" s="23">
        <f>$C$11*$C$17</f>
        <v>99013.840250000008</v>
      </c>
      <c r="D35" s="3" t="s">
        <v>118</v>
      </c>
    </row>
    <row r="37" spans="1:6" ht="17.25" x14ac:dyDescent="0.3">
      <c r="A37" s="3" t="s">
        <v>10</v>
      </c>
      <c r="B37" s="2" t="s">
        <v>91</v>
      </c>
      <c r="C37" s="16">
        <f>SQRT($C$35/$C$34)</f>
        <v>1.4942653381771542</v>
      </c>
    </row>
    <row r="38" spans="1:6" ht="17.25" x14ac:dyDescent="0.3">
      <c r="A38" s="26" t="s">
        <v>21</v>
      </c>
      <c r="B38" s="26" t="s">
        <v>141</v>
      </c>
      <c r="C38" s="27">
        <f>IF(C37&lt;=1.5,(0.658^(C37^2))*C35,(0.877/(C37^2))*C35)</f>
        <v>38888.879205582845</v>
      </c>
      <c r="D38" s="26" t="s">
        <v>118</v>
      </c>
    </row>
    <row r="39" spans="1:6" x14ac:dyDescent="0.25">
      <c r="C39" s="7"/>
    </row>
    <row r="40" spans="1:6" ht="17.25" x14ac:dyDescent="0.3">
      <c r="A40" s="1" t="s">
        <v>139</v>
      </c>
      <c r="C40" s="7"/>
    </row>
    <row r="41" spans="1:6" ht="17.25" x14ac:dyDescent="0.3">
      <c r="A41" s="3" t="s">
        <v>120</v>
      </c>
      <c r="B41" s="2" t="s">
        <v>61</v>
      </c>
      <c r="C41" s="23">
        <f>$C$20*$C$11*$C$17</f>
        <v>68586.887141175001</v>
      </c>
      <c r="D41" s="3" t="s">
        <v>118</v>
      </c>
    </row>
    <row r="42" spans="1:6" ht="17.25" x14ac:dyDescent="0.3">
      <c r="A42" s="3" t="s">
        <v>10</v>
      </c>
      <c r="B42" s="2" t="s">
        <v>93</v>
      </c>
      <c r="C42" s="16">
        <f>SQRT(C38/C41)</f>
        <v>0.75299512946021618</v>
      </c>
      <c r="F42" s="3">
        <f>SQRT(C35/C41)</f>
        <v>1.2015100455220507</v>
      </c>
    </row>
    <row r="43" spans="1:6" ht="17.25" x14ac:dyDescent="0.3">
      <c r="A43" s="26" t="s">
        <v>11</v>
      </c>
      <c r="B43" s="26" t="s">
        <v>142</v>
      </c>
      <c r="C43" s="27">
        <f>IF(C42&lt;0.776,C38,(1-0.15*(C41/C38)^0.4)*((C41/C38)^0.4)*C38)</f>
        <v>38888.879205582845</v>
      </c>
      <c r="D43" s="26" t="s">
        <v>8</v>
      </c>
      <c r="F43" s="3">
        <f>IF(C42&lt;0.776,C35,(1-0.15*(C41/C35)^0.4)*((C41/C35)^0.4)*C35)</f>
        <v>99013.840250000008</v>
      </c>
    </row>
    <row r="44" spans="1:6" x14ac:dyDescent="0.25">
      <c r="C44" s="9"/>
    </row>
    <row r="45" spans="1:6" ht="17.25" x14ac:dyDescent="0.3">
      <c r="A45" s="1" t="s">
        <v>140</v>
      </c>
      <c r="C45" s="7"/>
    </row>
    <row r="46" spans="1:6" ht="17.25" x14ac:dyDescent="0.3">
      <c r="A46" s="3" t="s">
        <v>136</v>
      </c>
      <c r="B46" s="2" t="s">
        <v>134</v>
      </c>
      <c r="C46" s="23">
        <f>$C$21*$C$11*$C$17</f>
        <v>63055.974024809999</v>
      </c>
      <c r="D46" s="3" t="s">
        <v>8</v>
      </c>
    </row>
    <row r="47" spans="1:6" ht="17.25" x14ac:dyDescent="0.3">
      <c r="A47" s="3" t="s">
        <v>10</v>
      </c>
      <c r="B47" s="2" t="s">
        <v>135</v>
      </c>
      <c r="C47" s="16">
        <f>SQRT(C35/C46)</f>
        <v>1.2530974123362153</v>
      </c>
    </row>
    <row r="48" spans="1:6" ht="17.25" x14ac:dyDescent="0.3">
      <c r="A48" s="26" t="s">
        <v>196</v>
      </c>
      <c r="B48" s="26" t="s">
        <v>143</v>
      </c>
      <c r="C48" s="27">
        <f>IF(C47&lt;0.561,C35,(1-0.25*(C46/C35)^0.6)*((C46/C35)^0.6)*C35)</f>
        <v>61125.422574579097</v>
      </c>
      <c r="D48" s="26" t="s">
        <v>8</v>
      </c>
    </row>
    <row r="49" spans="1:4" x14ac:dyDescent="0.25">
      <c r="C49" s="9"/>
    </row>
    <row r="50" spans="1:4" ht="49.5" customHeight="1" x14ac:dyDescent="0.25">
      <c r="A50" s="60" t="s">
        <v>151</v>
      </c>
      <c r="B50" s="60"/>
      <c r="C50" s="32">
        <f>MIN(C38,C43,C48)/1000</f>
        <v>38.888879205582846</v>
      </c>
      <c r="D50" s="29" t="s">
        <v>118</v>
      </c>
    </row>
    <row r="51" spans="1:4" x14ac:dyDescent="0.25">
      <c r="B51" s="3"/>
    </row>
    <row r="53" spans="1:4" ht="60.75" customHeight="1" x14ac:dyDescent="0.25">
      <c r="A53" s="60" t="s">
        <v>197</v>
      </c>
      <c r="B53" s="60"/>
      <c r="C53" s="32">
        <f>MIN(C38,C43)/1000</f>
        <v>38.888879205582846</v>
      </c>
      <c r="D53" s="29" t="s">
        <v>118</v>
      </c>
    </row>
  </sheetData>
  <mergeCells count="5">
    <mergeCell ref="A50:B50"/>
    <mergeCell ref="F8:F9"/>
    <mergeCell ref="G8:G9"/>
    <mergeCell ref="F4:G7"/>
    <mergeCell ref="A53:B5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53"/>
  <sheetViews>
    <sheetView zoomScale="85" zoomScaleNormal="85" workbookViewId="0">
      <selection activeCell="C5" sqref="C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Screen'!F7</f>
        <v>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Screen'!G7</f>
        <v>84.680167999999995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Screen'!H7</f>
        <v>62.937088000000003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73.808627999999999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189198.41194399999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192829.50630399998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191013.95912399999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199291.65993633511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7.725248259237713E-6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2.1220328723809607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5088902.2045348212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117567960.17700352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587264189.74389493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719492984.19634485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44.731140857461334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0.20614085746133526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1.9158920149196255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0.20614085746133526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2276512232.9743118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12947319538.183329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2273870244.0164924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12953686100.606298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10679161714.744696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41130549830.525131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45.104695069619552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65.505264284134029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1.0327119995287146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30.783584637519546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0.68552215276547201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30.783584637519546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30.783584637519546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44.731140857461334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4613.8706593795396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1384161.1978138618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2668934.3904013596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0.72015235686253665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1384161.1978138618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29525.525147454806</v>
      </c>
    </row>
    <row r="113" spans="1:6" x14ac:dyDescent="0.25">
      <c r="A113" s="3">
        <v>2</v>
      </c>
      <c r="B113" s="18">
        <f>D112/1000</f>
        <v>29.525525147454807</v>
      </c>
      <c r="C113" s="16">
        <f>(1-B113/$C$80)</f>
        <v>0.3454001827995542</v>
      </c>
      <c r="D113" s="11">
        <f t="shared" si="1"/>
        <v>27403.088129326537</v>
      </c>
    </row>
    <row r="114" spans="1:6" x14ac:dyDescent="0.25">
      <c r="A114" s="3">
        <v>3</v>
      </c>
      <c r="B114" s="18">
        <f>D113/1000</f>
        <v>27.403088129326537</v>
      </c>
      <c r="C114" s="16">
        <f t="shared" si="0"/>
        <v>0.3924559718887447</v>
      </c>
      <c r="D114" s="11">
        <f t="shared" si="1"/>
        <v>27768.715936357625</v>
      </c>
    </row>
    <row r="115" spans="1:6" x14ac:dyDescent="0.25">
      <c r="A115" s="3">
        <v>4</v>
      </c>
      <c r="B115" s="18">
        <f t="shared" ref="B115:B121" si="2">D114/1000</f>
        <v>27.768715936357626</v>
      </c>
      <c r="C115" s="16">
        <f t="shared" si="0"/>
        <v>0.38434976905405671</v>
      </c>
      <c r="D115" s="11">
        <f t="shared" si="1"/>
        <v>27711.475924916951</v>
      </c>
    </row>
    <row r="116" spans="1:6" x14ac:dyDescent="0.25">
      <c r="A116" s="3">
        <v>5</v>
      </c>
      <c r="B116" s="18">
        <f t="shared" si="2"/>
        <v>27.71147592491695</v>
      </c>
      <c r="C116" s="16">
        <f t="shared" si="0"/>
        <v>0.38561881679625576</v>
      </c>
      <c r="D116" s="11">
        <f t="shared" si="1"/>
        <v>27720.580075797734</v>
      </c>
    </row>
    <row r="117" spans="1:6" x14ac:dyDescent="0.25">
      <c r="A117" s="3">
        <v>6</v>
      </c>
      <c r="B117" s="18">
        <f t="shared" si="2"/>
        <v>27.720580075797734</v>
      </c>
      <c r="C117" s="16">
        <f t="shared" si="0"/>
        <v>0.38541697193583202</v>
      </c>
      <c r="D117" s="11">
        <f t="shared" si="1"/>
        <v>27719.135650795015</v>
      </c>
    </row>
    <row r="118" spans="1:6" x14ac:dyDescent="0.25">
      <c r="A118" s="3">
        <v>7</v>
      </c>
      <c r="B118" s="18">
        <f t="shared" si="2"/>
        <v>27.719135650795014</v>
      </c>
      <c r="C118" s="16">
        <f t="shared" si="0"/>
        <v>0.38544899576396097</v>
      </c>
      <c r="D118" s="11">
        <f t="shared" si="1"/>
        <v>27719.364907902749</v>
      </c>
    </row>
    <row r="119" spans="1:6" x14ac:dyDescent="0.25">
      <c r="A119" s="3">
        <v>8</v>
      </c>
      <c r="B119" s="18">
        <f t="shared" si="2"/>
        <v>27.719364907902751</v>
      </c>
      <c r="C119" s="16">
        <f t="shared" si="0"/>
        <v>0.38544391298693781</v>
      </c>
      <c r="D119" s="11">
        <f t="shared" si="1"/>
        <v>27719.32852282677</v>
      </c>
    </row>
    <row r="120" spans="1:6" x14ac:dyDescent="0.25">
      <c r="A120" s="3">
        <v>9</v>
      </c>
      <c r="B120" s="18">
        <f t="shared" si="2"/>
        <v>27.719328522826771</v>
      </c>
      <c r="C120" s="16">
        <f t="shared" si="0"/>
        <v>0.38544471966739369</v>
      </c>
      <c r="D120" s="11">
        <f t="shared" si="1"/>
        <v>27719.334297509144</v>
      </c>
    </row>
    <row r="121" spans="1:6" x14ac:dyDescent="0.25">
      <c r="A121" s="3">
        <v>10</v>
      </c>
      <c r="B121" s="18">
        <f t="shared" si="2"/>
        <v>27.719334297509143</v>
      </c>
      <c r="C121" s="16">
        <f t="shared" si="0"/>
        <v>0.38544459163898415</v>
      </c>
      <c r="D121" s="11">
        <f t="shared" si="1"/>
        <v>27719.333381009652</v>
      </c>
    </row>
    <row r="123" spans="1:6" x14ac:dyDescent="0.25">
      <c r="A123" s="30" t="s">
        <v>153</v>
      </c>
      <c r="B123" s="30"/>
      <c r="C123" s="31"/>
      <c r="D123" s="30">
        <f>D121/1000</f>
        <v>27.719333381009651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1384161.1978138618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2668934.3904013596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0.72015235686253665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1384161.1978138618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30643.099851432624</v>
      </c>
    </row>
    <row r="139" spans="1:4" x14ac:dyDescent="0.25">
      <c r="A139" s="3">
        <v>2</v>
      </c>
      <c r="B139" s="18">
        <f>D138/1000</f>
        <v>30.643099851432623</v>
      </c>
      <c r="C139" s="16">
        <f t="shared" si="3"/>
        <v>0.32062283529165447</v>
      </c>
      <c r="D139" s="11">
        <f t="shared" si="4"/>
        <v>30349.6189517649</v>
      </c>
    </row>
    <row r="140" spans="1:4" x14ac:dyDescent="0.25">
      <c r="A140" s="3">
        <v>3</v>
      </c>
      <c r="B140" s="18">
        <f>D139/1000</f>
        <v>30.349618951764899</v>
      </c>
      <c r="C140" s="16">
        <f t="shared" si="3"/>
        <v>0.32712949494681309</v>
      </c>
      <c r="D140" s="11">
        <f t="shared" si="4"/>
        <v>30358.131304716513</v>
      </c>
    </row>
    <row r="141" spans="1:4" x14ac:dyDescent="0.25">
      <c r="A141" s="3">
        <v>4</v>
      </c>
      <c r="B141" s="18">
        <f>D140/1000</f>
        <v>30.358131304716512</v>
      </c>
      <c r="C141" s="16">
        <f t="shared" si="3"/>
        <v>0.32694077062579785</v>
      </c>
      <c r="D141" s="11">
        <f t="shared" si="4"/>
        <v>30357.889110872919</v>
      </c>
    </row>
    <row r="142" spans="1:4" x14ac:dyDescent="0.25">
      <c r="A142" s="3">
        <v>5</v>
      </c>
      <c r="B142" s="18">
        <f>D141/1000</f>
        <v>30.357889110872918</v>
      </c>
      <c r="C142" s="16">
        <f t="shared" si="3"/>
        <v>0.32694614021854684</v>
      </c>
      <c r="D142" s="11">
        <f t="shared" si="4"/>
        <v>30357.896005593946</v>
      </c>
    </row>
    <row r="143" spans="1:4" x14ac:dyDescent="0.25">
      <c r="A143" s="3">
        <v>6</v>
      </c>
      <c r="B143" s="18">
        <f>D142/1000</f>
        <v>30.357896005593947</v>
      </c>
      <c r="C143" s="16">
        <f t="shared" si="3"/>
        <v>0.32694598735816238</v>
      </c>
      <c r="D143" s="11">
        <f t="shared" si="4"/>
        <v>30357.895809319631</v>
      </c>
    </row>
    <row r="144" spans="1:4" ht="18.75" customHeight="1" x14ac:dyDescent="0.25">
      <c r="A144" s="3">
        <v>7</v>
      </c>
      <c r="B144" s="18">
        <f t="shared" ref="B144:B147" si="5">D143/1000</f>
        <v>30.357895809319629</v>
      </c>
      <c r="C144" s="16">
        <f t="shared" si="3"/>
        <v>0.32694599170968985</v>
      </c>
      <c r="D144" s="11">
        <f t="shared" si="4"/>
        <v>30357.895814907042</v>
      </c>
    </row>
    <row r="145" spans="1:5" x14ac:dyDescent="0.25">
      <c r="A145" s="3">
        <v>8</v>
      </c>
      <c r="B145" s="18">
        <f t="shared" si="5"/>
        <v>30.357895814907042</v>
      </c>
      <c r="C145" s="16">
        <f t="shared" si="3"/>
        <v>0.32694599158581328</v>
      </c>
      <c r="D145" s="11">
        <f t="shared" si="4"/>
        <v>30357.895814747979</v>
      </c>
    </row>
    <row r="146" spans="1:5" x14ac:dyDescent="0.25">
      <c r="A146" s="3">
        <v>9</v>
      </c>
      <c r="B146" s="18">
        <f t="shared" si="5"/>
        <v>30.35789581474798</v>
      </c>
      <c r="C146" s="16">
        <f t="shared" si="3"/>
        <v>0.32694599158933979</v>
      </c>
      <c r="D146" s="11">
        <f t="shared" si="4"/>
        <v>30357.895814752508</v>
      </c>
    </row>
    <row r="147" spans="1:5" x14ac:dyDescent="0.25">
      <c r="A147" s="3">
        <v>10</v>
      </c>
      <c r="B147" s="18">
        <f t="shared" si="5"/>
        <v>30.357895814752506</v>
      </c>
      <c r="C147" s="16">
        <f t="shared" si="3"/>
        <v>0.32694599158923954</v>
      </c>
      <c r="D147" s="11">
        <f t="shared" si="4"/>
        <v>30357.895814752384</v>
      </c>
    </row>
    <row r="149" spans="1:5" x14ac:dyDescent="0.25">
      <c r="A149" s="30" t="s">
        <v>152</v>
      </c>
      <c r="B149" s="30"/>
      <c r="C149" s="31"/>
      <c r="D149" s="30">
        <f>D147/1000</f>
        <v>30.357895814752386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27.719333381009651</v>
      </c>
      <c r="C152" s="28">
        <f>IF(F123=TRUE,D149,MIN(D149,D123))</f>
        <v>27.719333381009651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3"/>
  <sheetViews>
    <sheetView zoomScale="85" zoomScaleNormal="85" workbookViewId="0">
      <selection activeCell="C3" sqref="C3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Screen'!F8</f>
        <v>60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Screen'!G8</f>
        <v>147.55038500000001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Screen'!H8</f>
        <v>86.789742000000004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117.1700635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178699.085705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188846.113086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183772.5993955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191736.49168000862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9.9023177746752864E-6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7.6011240266934248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4806500.0221127411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115139289.25314161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575132725.8645438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692216927.80449009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45.123755786431346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0.5987557864313473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7.0023682402620775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0.5987557864313473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2191473106.4121504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12444428528.902082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2184113039.3844724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12462329438.17382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10279226528.355696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39561570641.228218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43.384116857185951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63.021952671897623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1.0529911430588208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30.243414601601348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0.6927387537556482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30.243414601601348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30.243414601601348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45.123755786431346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4572.6031226964251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1371780.9368089275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2567754.8006933904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0.73091286608210271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1371780.9368089275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26198.838242844486</v>
      </c>
    </row>
    <row r="113" spans="1:6" x14ac:dyDescent="0.25">
      <c r="A113" s="3">
        <v>2</v>
      </c>
      <c r="B113" s="18">
        <f>D112/1000</f>
        <v>26.198838242844484</v>
      </c>
      <c r="C113" s="16">
        <f>(1-B113/$C$80)</f>
        <v>0.39611912974771024</v>
      </c>
      <c r="D113" s="11">
        <f t="shared" si="1"/>
        <v>21762.060401944243</v>
      </c>
    </row>
    <row r="114" spans="1:6" x14ac:dyDescent="0.25">
      <c r="A114" s="3">
        <v>3</v>
      </c>
      <c r="B114" s="18">
        <f>D113/1000</f>
        <v>21.762060401944243</v>
      </c>
      <c r="C114" s="16">
        <f t="shared" si="0"/>
        <v>0.49838646079666193</v>
      </c>
      <c r="D114" s="11">
        <f t="shared" si="1"/>
        <v>23090.813523370682</v>
      </c>
    </row>
    <row r="115" spans="1:6" x14ac:dyDescent="0.25">
      <c r="A115" s="3">
        <v>4</v>
      </c>
      <c r="B115" s="18">
        <f t="shared" ref="B115:B121" si="2">D114/1000</f>
        <v>23.090813523370681</v>
      </c>
      <c r="C115" s="16">
        <f t="shared" si="0"/>
        <v>0.46775882059828022</v>
      </c>
      <c r="D115" s="11">
        <f t="shared" si="1"/>
        <v>22738.693885534045</v>
      </c>
    </row>
    <row r="116" spans="1:6" x14ac:dyDescent="0.25">
      <c r="A116" s="3">
        <v>5</v>
      </c>
      <c r="B116" s="18">
        <f t="shared" si="2"/>
        <v>22.738693885534044</v>
      </c>
      <c r="C116" s="16">
        <f t="shared" si="0"/>
        <v>0.47587514664902741</v>
      </c>
      <c r="D116" s="11">
        <f t="shared" si="1"/>
        <v>22835.338493106043</v>
      </c>
    </row>
    <row r="117" spans="1:6" x14ac:dyDescent="0.25">
      <c r="A117" s="3">
        <v>6</v>
      </c>
      <c r="B117" s="18">
        <f t="shared" si="2"/>
        <v>22.835338493106043</v>
      </c>
      <c r="C117" s="16">
        <f t="shared" si="0"/>
        <v>0.47364749711797582</v>
      </c>
      <c r="D117" s="11">
        <f t="shared" si="1"/>
        <v>22809.061622053665</v>
      </c>
    </row>
    <row r="118" spans="1:6" x14ac:dyDescent="0.25">
      <c r="A118" s="3">
        <v>7</v>
      </c>
      <c r="B118" s="18">
        <f t="shared" si="2"/>
        <v>22.809061622053665</v>
      </c>
      <c r="C118" s="16">
        <f t="shared" si="0"/>
        <v>0.47425317663748467</v>
      </c>
      <c r="D118" s="11">
        <f t="shared" si="1"/>
        <v>22816.224520206222</v>
      </c>
    </row>
    <row r="119" spans="1:6" x14ac:dyDescent="0.25">
      <c r="A119" s="3">
        <v>8</v>
      </c>
      <c r="B119" s="18">
        <f t="shared" si="2"/>
        <v>22.816224520206223</v>
      </c>
      <c r="C119" s="16">
        <f t="shared" si="0"/>
        <v>0.47408807247791085</v>
      </c>
      <c r="D119" s="11">
        <f t="shared" si="1"/>
        <v>22814.273331193413</v>
      </c>
    </row>
    <row r="120" spans="1:6" x14ac:dyDescent="0.25">
      <c r="A120" s="3">
        <v>9</v>
      </c>
      <c r="B120" s="18">
        <f t="shared" si="2"/>
        <v>22.814273331193412</v>
      </c>
      <c r="C120" s="16">
        <f t="shared" si="0"/>
        <v>0.47413304720954441</v>
      </c>
      <c r="D120" s="11">
        <f t="shared" si="1"/>
        <v>22814.804940906619</v>
      </c>
    </row>
    <row r="121" spans="1:6" x14ac:dyDescent="0.25">
      <c r="A121" s="3">
        <v>10</v>
      </c>
      <c r="B121" s="18">
        <f t="shared" si="2"/>
        <v>22.814804940906619</v>
      </c>
      <c r="C121" s="16">
        <f t="shared" si="0"/>
        <v>0.4741207936533649</v>
      </c>
      <c r="D121" s="11">
        <f t="shared" si="1"/>
        <v>22814.660109128628</v>
      </c>
    </row>
    <row r="123" spans="1:6" x14ac:dyDescent="0.25">
      <c r="A123" s="30" t="s">
        <v>153</v>
      </c>
      <c r="B123" s="30"/>
      <c r="C123" s="31"/>
      <c r="D123" s="30">
        <f>D121/1000</f>
        <v>22.814660109128628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1371780.9368089275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2567754.8006933904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0.73091286608210271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1371780.9368089275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29849.382921268145</v>
      </c>
    </row>
    <row r="139" spans="1:4" x14ac:dyDescent="0.25">
      <c r="A139" s="3">
        <v>2</v>
      </c>
      <c r="B139" s="18">
        <f>D138/1000</f>
        <v>29.849382921268145</v>
      </c>
      <c r="C139" s="16">
        <f t="shared" si="3"/>
        <v>0.31197440253243214</v>
      </c>
      <c r="D139" s="11">
        <f t="shared" si="4"/>
        <v>29015.666225176199</v>
      </c>
    </row>
    <row r="140" spans="1:4" x14ac:dyDescent="0.25">
      <c r="A140" s="3">
        <v>3</v>
      </c>
      <c r="B140" s="18">
        <f>D139/1000</f>
        <v>29.015666225176201</v>
      </c>
      <c r="C140" s="16">
        <f t="shared" si="3"/>
        <v>0.33119149755447486</v>
      </c>
      <c r="D140" s="11">
        <f t="shared" si="4"/>
        <v>29084.174628773879</v>
      </c>
    </row>
    <row r="141" spans="1:4" x14ac:dyDescent="0.25">
      <c r="A141" s="3">
        <v>4</v>
      </c>
      <c r="B141" s="18">
        <f>D140/1000</f>
        <v>29.08417462877388</v>
      </c>
      <c r="C141" s="16">
        <f t="shared" si="3"/>
        <v>0.32961238499991485</v>
      </c>
      <c r="D141" s="11">
        <f t="shared" si="4"/>
        <v>29078.834778382694</v>
      </c>
    </row>
    <row r="142" spans="1:4" x14ac:dyDescent="0.25">
      <c r="A142" s="3">
        <v>5</v>
      </c>
      <c r="B142" s="18">
        <f>D141/1000</f>
        <v>29.078834778382692</v>
      </c>
      <c r="C142" s="16">
        <f t="shared" si="3"/>
        <v>0.32973546807220067</v>
      </c>
      <c r="D142" s="11">
        <f t="shared" si="4"/>
        <v>29079.252757268783</v>
      </c>
    </row>
    <row r="143" spans="1:4" x14ac:dyDescent="0.25">
      <c r="A143" s="3">
        <v>6</v>
      </c>
      <c r="B143" s="18">
        <f>D142/1000</f>
        <v>29.079252757268783</v>
      </c>
      <c r="C143" s="16">
        <f t="shared" si="3"/>
        <v>0.32972583369638819</v>
      </c>
      <c r="D143" s="11">
        <f t="shared" si="4"/>
        <v>29079.220050631106</v>
      </c>
    </row>
    <row r="144" spans="1:4" ht="18.75" customHeight="1" x14ac:dyDescent="0.25">
      <c r="A144" s="3">
        <v>7</v>
      </c>
      <c r="B144" s="18">
        <f t="shared" ref="B144:B147" si="5">D143/1000</f>
        <v>29.079220050631104</v>
      </c>
      <c r="C144" s="16">
        <f t="shared" si="3"/>
        <v>0.32972658758145146</v>
      </c>
      <c r="D144" s="11">
        <f t="shared" si="4"/>
        <v>29079.222609975335</v>
      </c>
    </row>
    <row r="145" spans="1:5" x14ac:dyDescent="0.25">
      <c r="A145" s="3">
        <v>8</v>
      </c>
      <c r="B145" s="18">
        <f t="shared" si="5"/>
        <v>29.079222609975336</v>
      </c>
      <c r="C145" s="16">
        <f t="shared" si="3"/>
        <v>0.32972652858879659</v>
      </c>
      <c r="D145" s="11">
        <f t="shared" si="4"/>
        <v>29079.222409703158</v>
      </c>
    </row>
    <row r="146" spans="1:5" x14ac:dyDescent="0.25">
      <c r="A146" s="3">
        <v>9</v>
      </c>
      <c r="B146" s="18">
        <f t="shared" si="5"/>
        <v>29.079222409703156</v>
      </c>
      <c r="C146" s="16">
        <f t="shared" si="3"/>
        <v>0.3297265332050523</v>
      </c>
      <c r="D146" s="11">
        <f t="shared" si="4"/>
        <v>29079.22242537473</v>
      </c>
    </row>
    <row r="147" spans="1:5" x14ac:dyDescent="0.25">
      <c r="A147" s="3">
        <v>10</v>
      </c>
      <c r="B147" s="18">
        <f t="shared" si="5"/>
        <v>29.079222425374731</v>
      </c>
      <c r="C147" s="16">
        <f t="shared" si="3"/>
        <v>0.32972653284382392</v>
      </c>
      <c r="D147" s="11">
        <f t="shared" si="4"/>
        <v>29079.222424148411</v>
      </c>
    </row>
    <row r="149" spans="1:5" x14ac:dyDescent="0.25">
      <c r="A149" s="30" t="s">
        <v>152</v>
      </c>
      <c r="B149" s="30"/>
      <c r="C149" s="31"/>
      <c r="D149" s="30">
        <f>D147/1000</f>
        <v>29.079222424148412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22.814660109128628</v>
      </c>
      <c r="C152" s="28">
        <f>IF(F123=TRUE,D149,MIN(D149,D123))</f>
        <v>22.814660109128628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3"/>
  <sheetViews>
    <sheetView zoomScale="85" zoomScaleNormal="85" workbookViewId="0"/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Screen'!F9</f>
        <v>85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Screen'!G9</f>
        <v>317.86630200000002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Screen'!H9</f>
        <v>232.71762100000001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275.29196150000001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138196.09846000001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161186.24233000004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149691.17039499999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156178.12416770155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1.2074800406224581E-5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12.989022952490998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3717084.2127330429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98275093.280893728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490894312.87843835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563842283.5130372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46.190471305259571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1.6654713052595724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11.323551647231426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1.6654713052595724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1783065835.7888923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10084212393.139954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1766787068.758404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10126669575.4611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8403485169.895771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32164220043.044121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35.272014188270532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51.334257049561309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1.1678174721583157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27.181730292535846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0.72767073482483635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27.181730292535846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27.181730292535846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46.190471305259571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4458.6196805373593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1337585.9041612078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2091553.4887546764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0.79969863351398429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1312586.4281347932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22018.518411198373</v>
      </c>
    </row>
    <row r="113" spans="1:6" x14ac:dyDescent="0.25">
      <c r="A113" s="3">
        <v>2</v>
      </c>
      <c r="B113" s="18">
        <f>D112/1000</f>
        <v>22.018518411198372</v>
      </c>
      <c r="C113" s="16">
        <f>(1-B113/$C$80)</f>
        <v>0.3757510332789421</v>
      </c>
      <c r="D113" s="11">
        <f t="shared" si="1"/>
        <v>16736.821446389044</v>
      </c>
    </row>
    <row r="114" spans="1:6" x14ac:dyDescent="0.25">
      <c r="A114" s="3">
        <v>3</v>
      </c>
      <c r="B114" s="18">
        <f>D113/1000</f>
        <v>16.736821446389044</v>
      </c>
      <c r="C114" s="16">
        <f t="shared" si="0"/>
        <v>0.52549289198361793</v>
      </c>
      <c r="D114" s="11">
        <f t="shared" si="1"/>
        <v>18794.804219420283</v>
      </c>
    </row>
    <row r="115" spans="1:6" x14ac:dyDescent="0.25">
      <c r="A115" s="3">
        <v>4</v>
      </c>
      <c r="B115" s="18">
        <f t="shared" ref="B115:B121" si="2">D114/1000</f>
        <v>18.794804219420282</v>
      </c>
      <c r="C115" s="16">
        <f t="shared" si="0"/>
        <v>0.46714684001033413</v>
      </c>
      <c r="D115" s="11">
        <f t="shared" si="1"/>
        <v>18097.376202810152</v>
      </c>
    </row>
    <row r="116" spans="1:6" x14ac:dyDescent="0.25">
      <c r="A116" s="3">
        <v>5</v>
      </c>
      <c r="B116" s="18">
        <f t="shared" si="2"/>
        <v>18.097376202810153</v>
      </c>
      <c r="C116" s="16">
        <f t="shared" si="0"/>
        <v>0.48691968351418069</v>
      </c>
      <c r="D116" s="11">
        <f t="shared" si="1"/>
        <v>18346.364404365126</v>
      </c>
    </row>
    <row r="117" spans="1:6" x14ac:dyDescent="0.25">
      <c r="A117" s="3">
        <v>6</v>
      </c>
      <c r="B117" s="18">
        <f t="shared" si="2"/>
        <v>18.346364404365126</v>
      </c>
      <c r="C117" s="16">
        <f t="shared" si="0"/>
        <v>0.47986059694696759</v>
      </c>
      <c r="D117" s="11">
        <f t="shared" si="1"/>
        <v>18259.055374264975</v>
      </c>
    </row>
    <row r="118" spans="1:6" x14ac:dyDescent="0.25">
      <c r="A118" s="3">
        <v>7</v>
      </c>
      <c r="B118" s="18">
        <f t="shared" si="2"/>
        <v>18.259055374264975</v>
      </c>
      <c r="C118" s="16">
        <f t="shared" si="0"/>
        <v>0.48233590299652074</v>
      </c>
      <c r="D118" s="11">
        <f t="shared" si="1"/>
        <v>18289.866518048169</v>
      </c>
    </row>
    <row r="119" spans="1:6" x14ac:dyDescent="0.25">
      <c r="A119" s="3">
        <v>8</v>
      </c>
      <c r="B119" s="18">
        <f t="shared" si="2"/>
        <v>18.289866518048168</v>
      </c>
      <c r="C119" s="16">
        <f t="shared" si="0"/>
        <v>0.48146237352869015</v>
      </c>
      <c r="D119" s="11">
        <f t="shared" si="1"/>
        <v>18279.017666615309</v>
      </c>
    </row>
    <row r="120" spans="1:6" x14ac:dyDescent="0.25">
      <c r="A120" s="3">
        <v>9</v>
      </c>
      <c r="B120" s="18">
        <f t="shared" si="2"/>
        <v>18.27901766661531</v>
      </c>
      <c r="C120" s="16">
        <f t="shared" si="0"/>
        <v>0.48176995027707059</v>
      </c>
      <c r="D120" s="11">
        <f t="shared" si="1"/>
        <v>18282.840652754381</v>
      </c>
    </row>
    <row r="121" spans="1:6" x14ac:dyDescent="0.25">
      <c r="A121" s="3">
        <v>10</v>
      </c>
      <c r="B121" s="18">
        <f t="shared" si="2"/>
        <v>18.282840652754381</v>
      </c>
      <c r="C121" s="16">
        <f t="shared" si="0"/>
        <v>0.48166156445825503</v>
      </c>
      <c r="D121" s="11">
        <f t="shared" si="1"/>
        <v>18281.493859681952</v>
      </c>
    </row>
    <row r="123" spans="1:6" x14ac:dyDescent="0.25">
      <c r="A123" s="30" t="s">
        <v>153</v>
      </c>
      <c r="B123" s="30"/>
      <c r="C123" s="31"/>
      <c r="D123" s="30">
        <f>D121/1000</f>
        <v>18.281493859681952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1337585.9041612078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2091553.4887546764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0.79969863351398429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1312586.4281347932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26275.502505588574</v>
      </c>
    </row>
    <row r="139" spans="1:4" x14ac:dyDescent="0.25">
      <c r="A139" s="3">
        <v>2</v>
      </c>
      <c r="B139" s="18">
        <f>D138/1000</f>
        <v>26.275502505588573</v>
      </c>
      <c r="C139" s="16">
        <f t="shared" si="3"/>
        <v>0.2550608999719014</v>
      </c>
      <c r="D139" s="11">
        <f t="shared" si="4"/>
        <v>23944.009906258281</v>
      </c>
    </row>
    <row r="140" spans="1:4" x14ac:dyDescent="0.25">
      <c r="A140" s="3">
        <v>3</v>
      </c>
      <c r="B140" s="18">
        <f>D139/1000</f>
        <v>23.94400990625828</v>
      </c>
      <c r="C140" s="16">
        <f t="shared" si="3"/>
        <v>0.32116125326858436</v>
      </c>
      <c r="D140" s="11">
        <f t="shared" si="4"/>
        <v>24545.764537544208</v>
      </c>
    </row>
    <row r="141" spans="1:4" x14ac:dyDescent="0.25">
      <c r="A141" s="3">
        <v>4</v>
      </c>
      <c r="B141" s="18">
        <f>D140/1000</f>
        <v>24.545764537544208</v>
      </c>
      <c r="C141" s="16">
        <f t="shared" si="3"/>
        <v>0.30410085439048351</v>
      </c>
      <c r="D141" s="11">
        <f t="shared" si="4"/>
        <v>24412.947307304137</v>
      </c>
    </row>
    <row r="142" spans="1:4" x14ac:dyDescent="0.25">
      <c r="A142" s="3">
        <v>5</v>
      </c>
      <c r="B142" s="18">
        <f>D141/1000</f>
        <v>24.412947307304137</v>
      </c>
      <c r="C142" s="16">
        <f t="shared" si="3"/>
        <v>0.3078663674550659</v>
      </c>
      <c r="D142" s="11">
        <f t="shared" si="4"/>
        <v>24443.400677132511</v>
      </c>
    </row>
    <row r="143" spans="1:4" x14ac:dyDescent="0.25">
      <c r="A143" s="3">
        <v>6</v>
      </c>
      <c r="B143" s="18">
        <f>D142/1000</f>
        <v>24.443400677132512</v>
      </c>
      <c r="C143" s="16">
        <f t="shared" si="3"/>
        <v>0.3070029812683337</v>
      </c>
      <c r="D143" s="11">
        <f t="shared" si="4"/>
        <v>24436.477431675812</v>
      </c>
    </row>
    <row r="144" spans="1:4" ht="18.75" customHeight="1" x14ac:dyDescent="0.25">
      <c r="A144" s="3">
        <v>7</v>
      </c>
      <c r="B144" s="18">
        <f t="shared" ref="B144:B147" si="5">D143/1000</f>
        <v>24.436477431675812</v>
      </c>
      <c r="C144" s="16">
        <f t="shared" si="3"/>
        <v>0.30719926281380339</v>
      </c>
      <c r="D144" s="11">
        <f t="shared" si="4"/>
        <v>24438.054429816519</v>
      </c>
    </row>
    <row r="145" spans="1:5" x14ac:dyDescent="0.25">
      <c r="A145" s="3">
        <v>8</v>
      </c>
      <c r="B145" s="18">
        <f t="shared" si="5"/>
        <v>24.438054429816518</v>
      </c>
      <c r="C145" s="16">
        <f t="shared" si="3"/>
        <v>0.30715455319976526</v>
      </c>
      <c r="D145" s="11">
        <f t="shared" si="4"/>
        <v>24437.695375697109</v>
      </c>
    </row>
    <row r="146" spans="1:5" x14ac:dyDescent="0.25">
      <c r="A146" s="3">
        <v>9</v>
      </c>
      <c r="B146" s="18">
        <f t="shared" si="5"/>
        <v>24.43769537569711</v>
      </c>
      <c r="C146" s="16">
        <f t="shared" si="3"/>
        <v>0.30716473277492329</v>
      </c>
      <c r="D146" s="11">
        <f t="shared" si="4"/>
        <v>24437.777134125925</v>
      </c>
    </row>
    <row r="147" spans="1:5" x14ac:dyDescent="0.25">
      <c r="A147" s="3">
        <v>10</v>
      </c>
      <c r="B147" s="18">
        <f t="shared" si="5"/>
        <v>24.437777134125923</v>
      </c>
      <c r="C147" s="16">
        <f t="shared" si="3"/>
        <v>0.30716241483446272</v>
      </c>
      <c r="D147" s="11">
        <f t="shared" si="4"/>
        <v>24437.758517748873</v>
      </c>
    </row>
    <row r="149" spans="1:5" x14ac:dyDescent="0.25">
      <c r="A149" s="30" t="s">
        <v>152</v>
      </c>
      <c r="B149" s="30"/>
      <c r="C149" s="31"/>
      <c r="D149" s="30">
        <f>D147/1000</f>
        <v>24.437758517748872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18.281493859681952</v>
      </c>
      <c r="C152" s="28">
        <f>IF(F123=TRUE,D149,MIN(D149,D123))</f>
        <v>18.281493859681952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3"/>
  <sheetViews>
    <sheetView zoomScale="85" zoomScaleNormal="85" workbookViewId="0"/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Screen'!F10</f>
        <v>110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Screen'!G10</f>
        <v>360.11895800000002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Screen'!H10</f>
        <v>269.85098299999999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314.98497050000003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126787.88134000001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151160.23459000001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138974.05796500001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144996.57944869742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1.2360915103922367E-5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14.096228214769631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3410235.4360690857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92162246.231167078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460360006.04619092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523474096.60360426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46.426758538313784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1.9017585383137856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12.194469676455846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1.9017585383137856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1654095845.3350799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9346644608.239399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1636985227.5849173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9392356972.4006348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7811748908.2517672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29841831561.811794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32.725230235447228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47.658990145982848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1.2124078608559197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26.000666017042906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0.73861788324652622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26.000666017042906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26.000666017042906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46.426758538313784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4433.0165719596334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1329904.9715878901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1941809.0927880104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0.82757438425898455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1277266.2713053843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20829.916730479341</v>
      </c>
    </row>
    <row r="113" spans="1:6" x14ac:dyDescent="0.25">
      <c r="A113" s="3">
        <v>2</v>
      </c>
      <c r="B113" s="18">
        <f>D112/1000</f>
        <v>20.82991673047934</v>
      </c>
      <c r="C113" s="16">
        <f>(1-B113/$C$80)</f>
        <v>0.363490597908251</v>
      </c>
      <c r="D113" s="11">
        <f t="shared" si="1"/>
        <v>15449.691459903454</v>
      </c>
    </row>
    <row r="114" spans="1:6" x14ac:dyDescent="0.25">
      <c r="A114" s="3">
        <v>3</v>
      </c>
      <c r="B114" s="18">
        <f>D113/1000</f>
        <v>15.449691459903454</v>
      </c>
      <c r="C114" s="16">
        <f t="shared" si="0"/>
        <v>0.52789663055850111</v>
      </c>
      <c r="D114" s="11">
        <f t="shared" si="1"/>
        <v>17684.673328740402</v>
      </c>
    </row>
    <row r="115" spans="1:6" x14ac:dyDescent="0.25">
      <c r="A115" s="3">
        <v>4</v>
      </c>
      <c r="B115" s="18">
        <f t="shared" ref="B115:B121" si="2">D114/1000</f>
        <v>17.684673328740402</v>
      </c>
      <c r="C115" s="16">
        <f t="shared" si="0"/>
        <v>0.45960125562127396</v>
      </c>
      <c r="D115" s="11">
        <f t="shared" si="1"/>
        <v>16882.30909618955</v>
      </c>
    </row>
    <row r="116" spans="1:6" x14ac:dyDescent="0.25">
      <c r="A116" s="3">
        <v>5</v>
      </c>
      <c r="B116" s="18">
        <f t="shared" si="2"/>
        <v>16.882309096189552</v>
      </c>
      <c r="C116" s="16">
        <f t="shared" si="0"/>
        <v>0.48411947067363892</v>
      </c>
      <c r="D116" s="11">
        <f t="shared" si="1"/>
        <v>17187.578379424602</v>
      </c>
    </row>
    <row r="117" spans="1:6" x14ac:dyDescent="0.25">
      <c r="A117" s="3">
        <v>6</v>
      </c>
      <c r="B117" s="18">
        <f t="shared" si="2"/>
        <v>17.1875783794246</v>
      </c>
      <c r="C117" s="16">
        <f t="shared" si="0"/>
        <v>0.47479121595889018</v>
      </c>
      <c r="D117" s="11">
        <f t="shared" si="1"/>
        <v>17073.874983963564</v>
      </c>
    </row>
    <row r="118" spans="1:6" x14ac:dyDescent="0.25">
      <c r="A118" s="3">
        <v>7</v>
      </c>
      <c r="B118" s="18">
        <f t="shared" si="2"/>
        <v>17.073874983963563</v>
      </c>
      <c r="C118" s="16">
        <f t="shared" si="0"/>
        <v>0.47826570321667194</v>
      </c>
      <c r="D118" s="11">
        <f t="shared" si="1"/>
        <v>17116.56723466051</v>
      </c>
    </row>
    <row r="119" spans="1:6" x14ac:dyDescent="0.25">
      <c r="A119" s="3">
        <v>8</v>
      </c>
      <c r="B119" s="18">
        <f t="shared" si="2"/>
        <v>17.116567234660511</v>
      </c>
      <c r="C119" s="16">
        <f t="shared" si="0"/>
        <v>0.47696113636138049</v>
      </c>
      <c r="D119" s="11">
        <f t="shared" si="1"/>
        <v>17100.58552509642</v>
      </c>
    </row>
    <row r="120" spans="1:6" x14ac:dyDescent="0.25">
      <c r="A120" s="3">
        <v>9</v>
      </c>
      <c r="B120" s="18">
        <f t="shared" si="2"/>
        <v>17.10058552509642</v>
      </c>
      <c r="C120" s="16">
        <f t="shared" si="0"/>
        <v>0.47744949685415949</v>
      </c>
      <c r="D120" s="11">
        <f t="shared" si="1"/>
        <v>17106.574956697223</v>
      </c>
    </row>
    <row r="121" spans="1:6" x14ac:dyDescent="0.25">
      <c r="A121" s="3">
        <v>10</v>
      </c>
      <c r="B121" s="18">
        <f t="shared" si="2"/>
        <v>17.106574956697223</v>
      </c>
      <c r="C121" s="16">
        <f t="shared" si="0"/>
        <v>0.47726647502183905</v>
      </c>
      <c r="D121" s="11">
        <f t="shared" si="1"/>
        <v>17104.331254735593</v>
      </c>
    </row>
    <row r="123" spans="1:6" x14ac:dyDescent="0.25">
      <c r="A123" s="30" t="s">
        <v>153</v>
      </c>
      <c r="B123" s="30"/>
      <c r="C123" s="31"/>
      <c r="D123" s="30">
        <f>D121/1000</f>
        <v>17.104331254735591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1329904.9715878901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1941809.0927880104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0.82757438425898455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1277266.2713053843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25031.613641533586</v>
      </c>
    </row>
    <row r="139" spans="1:4" x14ac:dyDescent="0.25">
      <c r="A139" s="3">
        <v>2</v>
      </c>
      <c r="B139" s="18">
        <f>D138/1000</f>
        <v>25.031613641533585</v>
      </c>
      <c r="C139" s="16">
        <f t="shared" si="3"/>
        <v>0.2350974015632773</v>
      </c>
      <c r="D139" s="11">
        <f t="shared" si="4"/>
        <v>22324.520355426586</v>
      </c>
    </row>
    <row r="140" spans="1:4" x14ac:dyDescent="0.25">
      <c r="A140" s="3">
        <v>3</v>
      </c>
      <c r="B140" s="18">
        <f>D139/1000</f>
        <v>22.324520355426586</v>
      </c>
      <c r="C140" s="16">
        <f t="shared" si="3"/>
        <v>0.31781930349125032</v>
      </c>
      <c r="D140" s="11">
        <f t="shared" si="4"/>
        <v>23177.451879695152</v>
      </c>
    </row>
    <row r="141" spans="1:4" x14ac:dyDescent="0.25">
      <c r="A141" s="3">
        <v>4</v>
      </c>
      <c r="B141" s="18">
        <f>D140/1000</f>
        <v>23.177451879695152</v>
      </c>
      <c r="C141" s="16">
        <f t="shared" si="3"/>
        <v>0.29175588031188671</v>
      </c>
      <c r="D141" s="11">
        <f t="shared" si="4"/>
        <v>22954.790691636201</v>
      </c>
    </row>
    <row r="142" spans="1:4" x14ac:dyDescent="0.25">
      <c r="A142" s="3">
        <v>5</v>
      </c>
      <c r="B142" s="18">
        <f>D141/1000</f>
        <v>22.954790691636202</v>
      </c>
      <c r="C142" s="16">
        <f t="shared" si="3"/>
        <v>0.29855984124530033</v>
      </c>
      <c r="D142" s="11">
        <f t="shared" si="4"/>
        <v>23016.236516960544</v>
      </c>
    </row>
    <row r="143" spans="1:4" x14ac:dyDescent="0.25">
      <c r="A143" s="3">
        <v>6</v>
      </c>
      <c r="B143" s="18">
        <f>D142/1000</f>
        <v>23.016236516960543</v>
      </c>
      <c r="C143" s="16">
        <f t="shared" si="3"/>
        <v>0.29668221273414064</v>
      </c>
      <c r="D143" s="11">
        <f t="shared" si="4"/>
        <v>22999.528921386871</v>
      </c>
    </row>
    <row r="144" spans="1:4" ht="18.75" customHeight="1" x14ac:dyDescent="0.25">
      <c r="A144" s="3">
        <v>7</v>
      </c>
      <c r="B144" s="18">
        <f t="shared" ref="B144:B147" si="5">D143/1000</f>
        <v>22.999528921386872</v>
      </c>
      <c r="C144" s="16">
        <f t="shared" si="3"/>
        <v>0.29719275446153148</v>
      </c>
      <c r="D144" s="11">
        <f t="shared" si="4"/>
        <v>23004.090334985132</v>
      </c>
    </row>
    <row r="145" spans="1:5" x14ac:dyDescent="0.25">
      <c r="A145" s="3">
        <v>8</v>
      </c>
      <c r="B145" s="18">
        <f t="shared" si="5"/>
        <v>23.004090334985133</v>
      </c>
      <c r="C145" s="16">
        <f t="shared" si="3"/>
        <v>0.2970533692359596</v>
      </c>
      <c r="D145" s="11">
        <f t="shared" si="4"/>
        <v>23002.846380137667</v>
      </c>
    </row>
    <row r="146" spans="1:5" x14ac:dyDescent="0.25">
      <c r="A146" s="3">
        <v>9</v>
      </c>
      <c r="B146" s="18">
        <f t="shared" si="5"/>
        <v>23.002846380137669</v>
      </c>
      <c r="C146" s="16">
        <f t="shared" si="3"/>
        <v>0.29709138133972524</v>
      </c>
      <c r="D146" s="11">
        <f t="shared" si="4"/>
        <v>23003.185724678024</v>
      </c>
    </row>
    <row r="147" spans="1:5" x14ac:dyDescent="0.25">
      <c r="A147" s="3">
        <v>10</v>
      </c>
      <c r="B147" s="18">
        <f t="shared" si="5"/>
        <v>23.003185724678023</v>
      </c>
      <c r="C147" s="16">
        <f t="shared" si="3"/>
        <v>0.29708101183161451</v>
      </c>
      <c r="D147" s="11">
        <f t="shared" si="4"/>
        <v>23003.093160837976</v>
      </c>
    </row>
    <row r="149" spans="1:5" x14ac:dyDescent="0.25">
      <c r="A149" s="30" t="s">
        <v>152</v>
      </c>
      <c r="B149" s="30"/>
      <c r="C149" s="31"/>
      <c r="D149" s="30">
        <f>D147/1000</f>
        <v>23.003093160837977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17.104331254735591</v>
      </c>
      <c r="C152" s="28">
        <f>IF(F123=TRUE,D149,MIN(D149,D123))</f>
        <v>17.104331254735591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3"/>
  <sheetViews>
    <sheetView zoomScale="85" zoomScaleNormal="85" workbookViewId="0">
      <selection activeCell="F1" sqref="F1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Screen'!F11</f>
        <v>150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Screen'!G11</f>
        <v>415.96163899999999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Screen'!H11</f>
        <v>350.82693499999999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383.39428699999996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111710.35747000002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129296.72755000001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120503.54251000001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125725.63348334479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279.78003029725545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1.2788734555138875E-5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10.523461479578721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3004692.6850882811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78832087.510768831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393774476.72080046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453901137.92923003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46.107588637331396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1.5825886373313978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8.9408728422473231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1.5825886373313978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1435724286.9091165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8122313180.1537733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1423237956.954294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8154628995.5876379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6762181894.0172548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25898086313.622074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48.103890000000007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28.400429628968499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41.324814351225783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1.3014504679897825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23.675331351664727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0.75690709705541592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23.675331351664727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23.675331351664727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46.107588637331396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4467.5706752231608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1340271.2025669483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1683730.6040096714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0.89219552423597137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1227038.5655930983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20191.984126520649</v>
      </c>
    </row>
    <row r="113" spans="1:6" x14ac:dyDescent="0.25">
      <c r="A113" s="3">
        <v>2</v>
      </c>
      <c r="B113" s="18">
        <f>D112/1000</f>
        <v>20.191984126520648</v>
      </c>
      <c r="C113" s="16">
        <f>(1-B113/$C$80)</f>
        <v>0.28902539890013568</v>
      </c>
      <c r="D113" s="11">
        <f t="shared" si="1"/>
        <v>14826.059958256563</v>
      </c>
    </row>
    <row r="114" spans="1:6" x14ac:dyDescent="0.25">
      <c r="A114" s="3">
        <v>3</v>
      </c>
      <c r="B114" s="18">
        <f>D113/1000</f>
        <v>14.826059958256563</v>
      </c>
      <c r="C114" s="16">
        <f t="shared" si="0"/>
        <v>0.47796353252579149</v>
      </c>
      <c r="D114" s="11">
        <f t="shared" si="1"/>
        <v>17396.43548864812</v>
      </c>
    </row>
    <row r="115" spans="1:6" x14ac:dyDescent="0.25">
      <c r="A115" s="3">
        <v>4</v>
      </c>
      <c r="B115" s="18">
        <f t="shared" ref="B115:B121" si="2">D114/1000</f>
        <v>17.39643548864812</v>
      </c>
      <c r="C115" s="16">
        <f t="shared" si="0"/>
        <v>0.38745872101513146</v>
      </c>
      <c r="D115" s="11">
        <f t="shared" si="1"/>
        <v>16381.612953348425</v>
      </c>
    </row>
    <row r="116" spans="1:6" x14ac:dyDescent="0.25">
      <c r="A116" s="3">
        <v>5</v>
      </c>
      <c r="B116" s="18">
        <f t="shared" si="2"/>
        <v>16.381612953348426</v>
      </c>
      <c r="C116" s="16">
        <f t="shared" si="0"/>
        <v>0.42319136832214865</v>
      </c>
      <c r="D116" s="11">
        <f t="shared" si="1"/>
        <v>16819.119518408475</v>
      </c>
    </row>
    <row r="117" spans="1:6" x14ac:dyDescent="0.25">
      <c r="A117" s="3">
        <v>6</v>
      </c>
      <c r="B117" s="18">
        <f t="shared" si="2"/>
        <v>16.819119518408474</v>
      </c>
      <c r="C117" s="16">
        <f t="shared" si="0"/>
        <v>0.40778644062296376</v>
      </c>
      <c r="D117" s="11">
        <f t="shared" si="1"/>
        <v>16637.110484049394</v>
      </c>
    </row>
    <row r="118" spans="1:6" x14ac:dyDescent="0.25">
      <c r="A118" s="3">
        <v>7</v>
      </c>
      <c r="B118" s="18">
        <f t="shared" si="2"/>
        <v>16.637110484049394</v>
      </c>
      <c r="C118" s="16">
        <f t="shared" si="0"/>
        <v>0.41419511248944252</v>
      </c>
      <c r="D118" s="11">
        <f t="shared" si="1"/>
        <v>16713.989891320289</v>
      </c>
    </row>
    <row r="119" spans="1:6" x14ac:dyDescent="0.25">
      <c r="A119" s="3">
        <v>8</v>
      </c>
      <c r="B119" s="18">
        <f t="shared" si="2"/>
        <v>16.713989891320288</v>
      </c>
      <c r="C119" s="16">
        <f t="shared" si="0"/>
        <v>0.41148813205727064</v>
      </c>
      <c r="D119" s="11">
        <f t="shared" si="1"/>
        <v>16681.722373213772</v>
      </c>
    </row>
    <row r="120" spans="1:6" x14ac:dyDescent="0.25">
      <c r="A120" s="3">
        <v>9</v>
      </c>
      <c r="B120" s="18">
        <f t="shared" si="2"/>
        <v>16.681722373213773</v>
      </c>
      <c r="C120" s="16">
        <f t="shared" si="0"/>
        <v>0.41262429508466381</v>
      </c>
      <c r="D120" s="11">
        <f t="shared" si="1"/>
        <v>16695.301924363404</v>
      </c>
    </row>
    <row r="121" spans="1:6" x14ac:dyDescent="0.25">
      <c r="A121" s="3">
        <v>10</v>
      </c>
      <c r="B121" s="18">
        <f t="shared" si="2"/>
        <v>16.695301924363406</v>
      </c>
      <c r="C121" s="16">
        <f t="shared" si="0"/>
        <v>0.41214614910845704</v>
      </c>
      <c r="D121" s="11">
        <f t="shared" si="1"/>
        <v>16689.593500597646</v>
      </c>
    </row>
    <row r="123" spans="1:6" x14ac:dyDescent="0.25">
      <c r="A123" s="30" t="s">
        <v>153</v>
      </c>
      <c r="B123" s="30"/>
      <c r="C123" s="31"/>
      <c r="D123" s="30">
        <f>D121/1000</f>
        <v>16.689593500597645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1249937.0588690659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1683730.6040096714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0.86160412460309166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1170176.642047008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22940.782126992992</v>
      </c>
    </row>
    <row r="139" spans="1:4" x14ac:dyDescent="0.25">
      <c r="A139" s="3">
        <v>2</v>
      </c>
      <c r="B139" s="18">
        <f>D138/1000</f>
        <v>22.940782126992993</v>
      </c>
      <c r="C139" s="16">
        <f t="shared" si="3"/>
        <v>0.19223820108716438</v>
      </c>
      <c r="D139" s="11">
        <f t="shared" si="4"/>
        <v>20294.981499531681</v>
      </c>
    </row>
    <row r="140" spans="1:4" x14ac:dyDescent="0.25">
      <c r="A140" s="3">
        <v>3</v>
      </c>
      <c r="B140" s="18">
        <f>D139/1000</f>
        <v>20.29498149953168</v>
      </c>
      <c r="C140" s="16">
        <f t="shared" si="3"/>
        <v>0.2853987856989757</v>
      </c>
      <c r="D140" s="11">
        <f t="shared" si="4"/>
        <v>21287.096695076976</v>
      </c>
    </row>
    <row r="141" spans="1:4" x14ac:dyDescent="0.25">
      <c r="A141" s="3">
        <v>4</v>
      </c>
      <c r="B141" s="18">
        <f>D140/1000</f>
        <v>21.287096695076976</v>
      </c>
      <c r="C141" s="16">
        <f t="shared" si="3"/>
        <v>0.25046568051336482</v>
      </c>
      <c r="D141" s="11">
        <f t="shared" si="4"/>
        <v>20991.759103029694</v>
      </c>
    </row>
    <row r="142" spans="1:4" x14ac:dyDescent="0.25">
      <c r="A142" s="3">
        <v>5</v>
      </c>
      <c r="B142" s="18">
        <f>D141/1000</f>
        <v>20.991759103029693</v>
      </c>
      <c r="C142" s="16">
        <f t="shared" si="3"/>
        <v>0.26086473418634293</v>
      </c>
      <c r="D142" s="11">
        <f t="shared" si="4"/>
        <v>21087.041203153498</v>
      </c>
    </row>
    <row r="143" spans="1:4" x14ac:dyDescent="0.25">
      <c r="A143" s="3">
        <v>6</v>
      </c>
      <c r="B143" s="18">
        <f>D142/1000</f>
        <v>21.087041203153497</v>
      </c>
      <c r="C143" s="16">
        <f t="shared" si="3"/>
        <v>0.25750978141384628</v>
      </c>
      <c r="D143" s="11">
        <f t="shared" si="4"/>
        <v>21057.049088767642</v>
      </c>
    </row>
    <row r="144" spans="1:4" ht="18.75" customHeight="1" x14ac:dyDescent="0.25">
      <c r="A144" s="3">
        <v>7</v>
      </c>
      <c r="B144" s="18">
        <f t="shared" ref="B144:B147" si="5">D143/1000</f>
        <v>21.057049088767641</v>
      </c>
      <c r="C144" s="16">
        <f t="shared" si="3"/>
        <v>0.25856582580393761</v>
      </c>
      <c r="D144" s="11">
        <f t="shared" si="4"/>
        <v>21066.564447444995</v>
      </c>
    </row>
    <row r="145" spans="1:5" x14ac:dyDescent="0.25">
      <c r="A145" s="3">
        <v>8</v>
      </c>
      <c r="B145" s="18">
        <f t="shared" si="5"/>
        <v>21.066564447444996</v>
      </c>
      <c r="C145" s="16">
        <f t="shared" si="3"/>
        <v>0.25823078303163927</v>
      </c>
      <c r="D145" s="11">
        <f t="shared" si="4"/>
        <v>21063.553084630621</v>
      </c>
    </row>
    <row r="146" spans="1:5" x14ac:dyDescent="0.25">
      <c r="A146" s="3">
        <v>9</v>
      </c>
      <c r="B146" s="18">
        <f t="shared" si="5"/>
        <v>21.06355308463062</v>
      </c>
      <c r="C146" s="16">
        <f t="shared" si="3"/>
        <v>0.25833681532952057</v>
      </c>
      <c r="D146" s="11">
        <f t="shared" si="4"/>
        <v>21064.506854076972</v>
      </c>
    </row>
    <row r="147" spans="1:5" x14ac:dyDescent="0.25">
      <c r="A147" s="3">
        <v>10</v>
      </c>
      <c r="B147" s="18">
        <f t="shared" si="5"/>
        <v>21.064506854076971</v>
      </c>
      <c r="C147" s="16">
        <f t="shared" si="3"/>
        <v>0.25830323240634612</v>
      </c>
      <c r="D147" s="11">
        <f t="shared" si="4"/>
        <v>21064.204848239369</v>
      </c>
    </row>
    <row r="149" spans="1:5" x14ac:dyDescent="0.25">
      <c r="A149" s="30" t="s">
        <v>152</v>
      </c>
      <c r="B149" s="30"/>
      <c r="C149" s="31"/>
      <c r="D149" s="30">
        <f>D147/1000</f>
        <v>21.06420484823937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16.689593500597645</v>
      </c>
      <c r="C152" s="28">
        <f>IF(F123=TRUE,D149,MIN(D149,D123))</f>
        <v>16.689593500597645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3"/>
  <sheetViews>
    <sheetView zoomScale="85" zoomScaleNormal="85" workbookViewId="0">
      <selection activeCell="G13" sqref="G13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Screen'!F12</f>
        <v>170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89.05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36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160.34630000000001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202187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Screen'!G12</f>
        <v>453.06225599999999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Screen'!H12</f>
        <v>392.67617799999999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617.5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0.69269999999999998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0.99658999999999998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4540.9769792251545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422.86921699999999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99.013840250000015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68.586887141175012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2794491.462970803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3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101693.19088000002</v>
      </c>
      <c r="D39" s="3" t="s">
        <v>6</v>
      </c>
    </row>
    <row r="40" spans="1:4" ht="17.25" x14ac:dyDescent="0.3">
      <c r="A40" s="63"/>
      <c r="B40" s="2" t="s">
        <v>64</v>
      </c>
      <c r="C40" s="9">
        <f>IF(IF(C14&lt;=200,C17*(1.0167-0.000835*C14),C17*(1.1201-0.00135*C14))&gt;200000,200000,IF(C14&lt;=200,C17*(1.0167-0.000835*C14),C17*(1.1201-0.00135*C14)))</f>
        <v>117997.43194000001</v>
      </c>
      <c r="D40" s="3" t="s">
        <v>6</v>
      </c>
    </row>
    <row r="41" spans="1:4" ht="17.25" x14ac:dyDescent="0.3">
      <c r="A41" s="63"/>
      <c r="B41" s="2" t="s">
        <v>65</v>
      </c>
      <c r="C41" s="9">
        <f>IF(IF(C30&lt;=200,C17*(1.0167-0.000835*C30),C17*(1.1201-0.00135*C30))&gt;200000,200000,IF(C30&lt;=200,C17*(1.0167-0.000835*C30),C17*(1.1201-0.00135*C30)))</f>
        <v>109845.31141000002</v>
      </c>
      <c r="D41" s="3" t="s">
        <v>6</v>
      </c>
    </row>
    <row r="42" spans="1:4" ht="17.25" x14ac:dyDescent="0.3">
      <c r="A42" s="63"/>
      <c r="B42" s="2" t="s">
        <v>66</v>
      </c>
      <c r="C42" s="9">
        <f>IF(((C39*(C6+C7)*C8+C40*(C6+C7)*C8+C41*C5*C8)/C11)&gt;200000,200000,(C39*(C6+C7)*C8+C40*(C6+C7)*C8+C41*C5*C8)/C11)</f>
        <v>114605.52175095996</v>
      </c>
      <c r="D42" s="3" t="s">
        <v>6</v>
      </c>
    </row>
    <row r="44" spans="1:4" ht="17.25" x14ac:dyDescent="0.3">
      <c r="A44" s="63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246.61575516508705</v>
      </c>
      <c r="D44" s="3" t="s">
        <v>6</v>
      </c>
    </row>
    <row r="45" spans="1:4" ht="17.25" x14ac:dyDescent="0.3">
      <c r="A45" s="63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3"/>
      <c r="B46" s="2" t="s">
        <v>69</v>
      </c>
      <c r="C46" s="10">
        <f>IF(IF(C30&lt;=200,C18*(1.01-0.0005*C30),C18*25*(1.16-C30^0.022))&gt;300,300,IF(C30&lt;=200,C18*(1.01-0.0005*C30),C18*25*(1.16-C30^0.022)))</f>
        <v>273.39168003736643</v>
      </c>
      <c r="D46" s="3" t="s">
        <v>6</v>
      </c>
    </row>
    <row r="47" spans="1:4" ht="17.25" x14ac:dyDescent="0.3">
      <c r="A47" s="63"/>
      <c r="B47" s="2" t="s">
        <v>70</v>
      </c>
      <c r="C47" s="7">
        <f>IF((C44*(C6+C7)*C8+C45*(C6+C7)*C8+C46*C5*C8)/C11&gt;300,300,(C44*(C6+C7)*C8+C45*(C6+C7)*C8+C46*C5*C8)/C11)</f>
        <v>285.19604667113299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1.3011778529668035E-5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9.926407157357291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2735259.2336165435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71942918.100095943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359362358.9475894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413754739.54263282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46.134573128271562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1.6095731282715633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8.3168340290857277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1.6095731282715633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1308643530.2671225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7402635056.7634783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1297077552.3512402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7432642928.8580084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6164884603.6132603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23605883671.853111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45.730130858343493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25.886748153258321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37.669739883324475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1.3291147350602923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21.831829321569518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0.76128759485710307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21.831829321569518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21.831829321569518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160.34630000000001</v>
      </c>
      <c r="D94" s="3" t="s">
        <v>49</v>
      </c>
    </row>
    <row r="95" spans="1:4" ht="17.25" x14ac:dyDescent="0.3">
      <c r="B95" s="2" t="s">
        <v>105</v>
      </c>
      <c r="C95" s="16">
        <f>C60</f>
        <v>46.134573128271562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4464.6581703742968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1220600.3979911834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1534808.9249130718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0.89178383464871414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1117809.6350312154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18781.114126351953</v>
      </c>
    </row>
    <row r="113" spans="1:6" x14ac:dyDescent="0.25">
      <c r="A113" s="3">
        <v>2</v>
      </c>
      <c r="B113" s="18">
        <f>D112/1000</f>
        <v>18.781114126351952</v>
      </c>
      <c r="C113" s="16">
        <f>(1-B113/$C$80)</f>
        <v>0.27448924773550576</v>
      </c>
      <c r="D113" s="11">
        <f t="shared" si="1"/>
        <v>13715.418276111563</v>
      </c>
    </row>
    <row r="114" spans="1:6" x14ac:dyDescent="0.25">
      <c r="A114" s="3">
        <v>3</v>
      </c>
      <c r="B114" s="18">
        <f>D113/1000</f>
        <v>13.715418276111562</v>
      </c>
      <c r="C114" s="16">
        <f t="shared" si="0"/>
        <v>0.47017608411409428</v>
      </c>
      <c r="D114" s="11">
        <f t="shared" si="1"/>
        <v>16226.082698740156</v>
      </c>
    </row>
    <row r="115" spans="1:6" x14ac:dyDescent="0.25">
      <c r="A115" s="3">
        <v>4</v>
      </c>
      <c r="B115" s="18">
        <f t="shared" ref="B115:B121" si="2">D114/1000</f>
        <v>16.226082698740157</v>
      </c>
      <c r="C115" s="16">
        <f t="shared" si="0"/>
        <v>0.37318961027177888</v>
      </c>
      <c r="D115" s="11">
        <f t="shared" si="1"/>
        <v>15211.040966609082</v>
      </c>
    </row>
    <row r="116" spans="1:6" x14ac:dyDescent="0.25">
      <c r="A116" s="3">
        <v>5</v>
      </c>
      <c r="B116" s="18">
        <f t="shared" si="2"/>
        <v>15.211040966609081</v>
      </c>
      <c r="C116" s="16">
        <f t="shared" si="0"/>
        <v>0.41240047314731987</v>
      </c>
      <c r="D116" s="11">
        <f t="shared" si="1"/>
        <v>15662.660113447428</v>
      </c>
    </row>
    <row r="117" spans="1:6" x14ac:dyDescent="0.25">
      <c r="A117" s="3">
        <v>6</v>
      </c>
      <c r="B117" s="18">
        <f t="shared" si="2"/>
        <v>15.662660113447428</v>
      </c>
      <c r="C117" s="16">
        <f t="shared" si="0"/>
        <v>0.39495451415066996</v>
      </c>
      <c r="D117" s="11">
        <f t="shared" si="1"/>
        <v>15469.56889140055</v>
      </c>
    </row>
    <row r="118" spans="1:6" x14ac:dyDescent="0.25">
      <c r="A118" s="3">
        <v>7</v>
      </c>
      <c r="B118" s="18">
        <f t="shared" si="2"/>
        <v>15.469568891400549</v>
      </c>
      <c r="C118" s="16">
        <f t="shared" si="0"/>
        <v>0.40241359015757949</v>
      </c>
      <c r="D118" s="11">
        <f t="shared" si="1"/>
        <v>15553.585321524499</v>
      </c>
    </row>
    <row r="119" spans="1:6" x14ac:dyDescent="0.25">
      <c r="A119" s="3">
        <v>8</v>
      </c>
      <c r="B119" s="18">
        <f t="shared" si="2"/>
        <v>15.553585321524499</v>
      </c>
      <c r="C119" s="16">
        <f t="shared" si="0"/>
        <v>0.39916805195299143</v>
      </c>
      <c r="D119" s="11">
        <f t="shared" si="1"/>
        <v>15517.302984417822</v>
      </c>
    </row>
    <row r="120" spans="1:6" x14ac:dyDescent="0.25">
      <c r="A120" s="3">
        <v>9</v>
      </c>
      <c r="B120" s="18">
        <f t="shared" si="2"/>
        <v>15.517302984417821</v>
      </c>
      <c r="C120" s="16">
        <f t="shared" si="0"/>
        <v>0.4005696315137719</v>
      </c>
      <c r="D120" s="11">
        <f t="shared" si="1"/>
        <v>15533.022760837013</v>
      </c>
    </row>
    <row r="121" spans="1:6" x14ac:dyDescent="0.25">
      <c r="A121" s="3">
        <v>10</v>
      </c>
      <c r="B121" s="18">
        <f t="shared" si="2"/>
        <v>15.533022760837014</v>
      </c>
      <c r="C121" s="16">
        <f t="shared" si="0"/>
        <v>0.39996237963624259</v>
      </c>
      <c r="D121" s="11">
        <f t="shared" si="1"/>
        <v>15526.221590585757</v>
      </c>
    </row>
    <row r="123" spans="1:6" x14ac:dyDescent="0.25">
      <c r="A123" s="30" t="s">
        <v>153</v>
      </c>
      <c r="B123" s="30"/>
      <c r="C123" s="31"/>
      <c r="D123" s="30">
        <f>D121/1000</f>
        <v>15.526221590585758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1101055.0462408331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1534808.9249130718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0.8469881960063258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1042072.3370065115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21119.649476161234</v>
      </c>
    </row>
    <row r="139" spans="1:4" x14ac:dyDescent="0.25">
      <c r="A139" s="3">
        <v>2</v>
      </c>
      <c r="B139" s="18">
        <f>D138/1000</f>
        <v>21.119649476161236</v>
      </c>
      <c r="C139" s="16">
        <f t="shared" si="3"/>
        <v>0.18415208618997814</v>
      </c>
      <c r="D139" s="11">
        <f t="shared" si="4"/>
        <v>18452.822068323138</v>
      </c>
    </row>
    <row r="140" spans="1:4" x14ac:dyDescent="0.25">
      <c r="A140" s="3">
        <v>3</v>
      </c>
      <c r="B140" s="18">
        <f>D139/1000</f>
        <v>18.452822068323137</v>
      </c>
      <c r="C140" s="16">
        <f t="shared" si="3"/>
        <v>0.28717110549860581</v>
      </c>
      <c r="D140" s="11">
        <f t="shared" si="4"/>
        <v>19537.615974358869</v>
      </c>
    </row>
    <row r="141" spans="1:4" x14ac:dyDescent="0.25">
      <c r="A141" s="3">
        <v>4</v>
      </c>
      <c r="B141" s="18">
        <f>D140/1000</f>
        <v>19.537615974358868</v>
      </c>
      <c r="C141" s="16">
        <f t="shared" si="3"/>
        <v>0.24526572983637951</v>
      </c>
      <c r="D141" s="11">
        <f t="shared" si="4"/>
        <v>19193.012470884634</v>
      </c>
    </row>
    <row r="142" spans="1:4" x14ac:dyDescent="0.25">
      <c r="A142" s="3">
        <v>5</v>
      </c>
      <c r="B142" s="18">
        <f>D141/1000</f>
        <v>19.193012470884636</v>
      </c>
      <c r="C142" s="16">
        <f t="shared" si="3"/>
        <v>0.25857769553535659</v>
      </c>
      <c r="D142" s="11">
        <f t="shared" si="4"/>
        <v>19313.190276498965</v>
      </c>
    </row>
    <row r="143" spans="1:4" x14ac:dyDescent="0.25">
      <c r="A143" s="3">
        <v>6</v>
      </c>
      <c r="B143" s="18">
        <f>D142/1000</f>
        <v>19.313190276498965</v>
      </c>
      <c r="C143" s="16">
        <f t="shared" si="3"/>
        <v>0.25393525049348287</v>
      </c>
      <c r="D143" s="11">
        <f t="shared" si="4"/>
        <v>19272.542331778459</v>
      </c>
    </row>
    <row r="144" spans="1:4" ht="18.75" customHeight="1" x14ac:dyDescent="0.25">
      <c r="A144" s="3">
        <v>7</v>
      </c>
      <c r="B144" s="18">
        <f t="shared" ref="B144:B147" si="5">D143/1000</f>
        <v>19.27254233177846</v>
      </c>
      <c r="C144" s="16">
        <f t="shared" si="3"/>
        <v>0.25550547261948553</v>
      </c>
      <c r="D144" s="11">
        <f t="shared" si="4"/>
        <v>19286.4367941163</v>
      </c>
    </row>
    <row r="145" spans="1:5" x14ac:dyDescent="0.25">
      <c r="A145" s="3">
        <v>8</v>
      </c>
      <c r="B145" s="18">
        <f t="shared" si="5"/>
        <v>19.286436794116302</v>
      </c>
      <c r="C145" s="16">
        <f t="shared" si="3"/>
        <v>0.25496873226663852</v>
      </c>
      <c r="D145" s="11">
        <f t="shared" si="4"/>
        <v>19281.70432946059</v>
      </c>
    </row>
    <row r="146" spans="1:5" x14ac:dyDescent="0.25">
      <c r="A146" s="3">
        <v>9</v>
      </c>
      <c r="B146" s="18">
        <f t="shared" si="5"/>
        <v>19.281704329460592</v>
      </c>
      <c r="C146" s="16">
        <f t="shared" si="3"/>
        <v>0.25515154644738036</v>
      </c>
      <c r="D146" s="11">
        <f t="shared" si="4"/>
        <v>19283.318185467964</v>
      </c>
    </row>
    <row r="147" spans="1:5" x14ac:dyDescent="0.25">
      <c r="A147" s="3">
        <v>10</v>
      </c>
      <c r="B147" s="18">
        <f t="shared" si="5"/>
        <v>19.283318185467966</v>
      </c>
      <c r="C147" s="16">
        <f t="shared" si="3"/>
        <v>0.25508920350659003</v>
      </c>
      <c r="D147" s="11">
        <f t="shared" si="4"/>
        <v>19282.768060960752</v>
      </c>
    </row>
    <row r="149" spans="1:5" x14ac:dyDescent="0.25">
      <c r="A149" s="30" t="s">
        <v>152</v>
      </c>
      <c r="B149" s="30"/>
      <c r="C149" s="31"/>
      <c r="D149" s="30">
        <f>D147/1000</f>
        <v>19.282768060960752</v>
      </c>
      <c r="E149" s="30" t="s">
        <v>8</v>
      </c>
    </row>
    <row r="152" spans="1:5" ht="30" customHeight="1" x14ac:dyDescent="0.25">
      <c r="A152" s="64" t="s">
        <v>46</v>
      </c>
      <c r="B152" s="64">
        <f>MIN(D149,D123)</f>
        <v>15.526221590585758</v>
      </c>
      <c r="C152" s="28">
        <f>IF(F123=TRUE,D149,MIN(D149,D123))</f>
        <v>15.526221590585758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Input-Output Screen</vt:lpstr>
      <vt:lpstr>Sheet7</vt:lpstr>
      <vt:lpstr>DSM-AS4600 (SA, 2005)-Ambient</vt:lpstr>
      <vt:lpstr>DSM -Temp (Sheet 1) </vt:lpstr>
      <vt:lpstr>DSM -Temp (Sheet 2)</vt:lpstr>
      <vt:lpstr>DSM -Temp (Sheet 3)</vt:lpstr>
      <vt:lpstr>DSM -Temp (Sheet 4)</vt:lpstr>
      <vt:lpstr>DSM -Temp (Sheet 5)</vt:lpstr>
      <vt:lpstr>DSM -Temp (Sheet 6)</vt:lpstr>
      <vt:lpstr>DSM -Temp (Sheet 7)</vt:lpstr>
      <vt:lpstr>DSM -Temp (Sheet 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2020-03-22T10:03:36Z</dcterms:modified>
</cp:coreProperties>
</file>