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codeName="ThisWorkbook" defaultThemeVersion="124226"/>
  <xr:revisionPtr revIDLastSave="0" documentId="13_ncr:1_{7C2949A8-6862-4024-9C60-686A0140F138}" xr6:coauthVersionLast="45" xr6:coauthVersionMax="45" xr10:uidLastSave="{00000000-0000-0000-0000-000000000000}"/>
  <bookViews>
    <workbookView xWindow="-120" yWindow="-120" windowWidth="29040" windowHeight="15840" tabRatio="900" activeTab="2" xr2:uid="{00000000-000D-0000-FFFF-FFFF00000000}"/>
  </bookViews>
  <sheets>
    <sheet name="Input-Output Screen" sheetId="9" r:id="rId1"/>
    <sheet name="Sheet7" sheetId="16" r:id="rId2"/>
    <sheet name="DSM-AS4600 (SA, 2005)-Ambient" sheetId="8" r:id="rId3"/>
    <sheet name="DSM -Temp (Sheet 1) " sheetId="7" r:id="rId4"/>
    <sheet name="DSM -Temp (Sheet 2)" sheetId="10" r:id="rId5"/>
    <sheet name="DSM -Temp (Sheet 3)" sheetId="11" r:id="rId6"/>
    <sheet name="DSM -Temp (Sheet 4)" sheetId="12" r:id="rId7"/>
    <sheet name="DSM -Temp (Sheet 5)" sheetId="13" r:id="rId8"/>
    <sheet name="DSM -Temp (Sheet 6)" sheetId="14" r:id="rId9"/>
    <sheet name="DSM -Temp (Sheet 7)" sheetId="17" r:id="rId10"/>
    <sheet name="DSM -Temp (Sheet 8)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9" l="1"/>
  <c r="C14" i="17" l="1"/>
  <c r="C13" i="17"/>
  <c r="C13" i="19"/>
  <c r="C14" i="19"/>
  <c r="C2" i="19"/>
  <c r="C2" i="17"/>
  <c r="C56" i="19"/>
  <c r="C25" i="19"/>
  <c r="C22" i="19"/>
  <c r="C18" i="19"/>
  <c r="C17" i="19"/>
  <c r="C12" i="19"/>
  <c r="C11" i="19"/>
  <c r="C94" i="19" s="1"/>
  <c r="C10" i="19"/>
  <c r="C9" i="19"/>
  <c r="C8" i="19"/>
  <c r="C6" i="19"/>
  <c r="C5" i="19"/>
  <c r="C56" i="17"/>
  <c r="C25" i="17"/>
  <c r="C22" i="17"/>
  <c r="C18" i="17"/>
  <c r="C17" i="17"/>
  <c r="C12" i="17"/>
  <c r="C11" i="17"/>
  <c r="C94" i="17" s="1"/>
  <c r="C10" i="17"/>
  <c r="C9" i="17"/>
  <c r="C8" i="17"/>
  <c r="C6" i="17"/>
  <c r="C5" i="17"/>
  <c r="C29" i="17" l="1"/>
  <c r="C35" i="17" s="1"/>
  <c r="C29" i="19"/>
  <c r="C35" i="19" s="1"/>
  <c r="C45" i="17"/>
  <c r="C45" i="19"/>
  <c r="C44" i="19"/>
  <c r="C44" i="17"/>
  <c r="C30" i="17"/>
  <c r="C46" i="17" s="1"/>
  <c r="C39" i="17"/>
  <c r="C55" i="17" s="1"/>
  <c r="C30" i="19"/>
  <c r="C39" i="19"/>
  <c r="C33" i="19"/>
  <c r="C34" i="19" s="1"/>
  <c r="C40" i="19"/>
  <c r="C33" i="17"/>
  <c r="C34" i="17" s="1"/>
  <c r="C40" i="17"/>
  <c r="C51" i="17" l="1"/>
  <c r="C52" i="17" s="1"/>
  <c r="C47" i="17"/>
  <c r="C79" i="17" s="1"/>
  <c r="C41" i="17"/>
  <c r="C102" i="17" s="1"/>
  <c r="C128" i="17" s="1"/>
  <c r="C55" i="19"/>
  <c r="C46" i="19"/>
  <c r="C41" i="19"/>
  <c r="C51" i="19"/>
  <c r="C52" i="19" s="1"/>
  <c r="C58" i="19"/>
  <c r="C57" i="19"/>
  <c r="C58" i="17"/>
  <c r="C57" i="17"/>
  <c r="C81" i="17" l="1"/>
  <c r="C59" i="17"/>
  <c r="C42" i="17"/>
  <c r="C60" i="17" s="1"/>
  <c r="C59" i="19"/>
  <c r="C102" i="19"/>
  <c r="C128" i="19" s="1"/>
  <c r="C47" i="19"/>
  <c r="C79" i="19" s="1"/>
  <c r="C42" i="19"/>
  <c r="C81" i="19"/>
  <c r="C60" i="19" l="1"/>
  <c r="C72" i="19" s="1"/>
  <c r="C70" i="19"/>
  <c r="C69" i="19"/>
  <c r="C95" i="17"/>
  <c r="C61" i="17"/>
  <c r="C69" i="17"/>
  <c r="C70" i="17"/>
  <c r="C73" i="17"/>
  <c r="C72" i="17"/>
  <c r="C71" i="17"/>
  <c r="C71" i="19" l="1"/>
  <c r="C61" i="19"/>
  <c r="C64" i="19" s="1"/>
  <c r="C95" i="19"/>
  <c r="C73" i="19"/>
  <c r="C75" i="17"/>
  <c r="C80" i="17" s="1"/>
  <c r="C75" i="19"/>
  <c r="C64" i="17"/>
  <c r="C63" i="17"/>
  <c r="C63" i="19" l="1"/>
  <c r="C97" i="17"/>
  <c r="C100" i="17" s="1"/>
  <c r="C105" i="17" s="1"/>
  <c r="C106" i="17" s="1"/>
  <c r="C80" i="19"/>
  <c r="C97" i="19"/>
  <c r="C112" i="17"/>
  <c r="C138" i="17"/>
  <c r="C84" i="17"/>
  <c r="C85" i="17" s="1"/>
  <c r="C126" i="17" l="1"/>
  <c r="C131" i="17" s="1"/>
  <c r="C132" i="17" s="1"/>
  <c r="C126" i="19"/>
  <c r="C131" i="19" s="1"/>
  <c r="C132" i="19" s="1"/>
  <c r="C100" i="19"/>
  <c r="C105" i="19" s="1"/>
  <c r="C106" i="19" s="1"/>
  <c r="C112" i="19"/>
  <c r="C138" i="19"/>
  <c r="C84" i="19"/>
  <c r="C85" i="19" s="1"/>
  <c r="C88" i="17"/>
  <c r="C89" i="17" s="1"/>
  <c r="C91" i="17" s="1"/>
  <c r="C88" i="19" l="1"/>
  <c r="C89" i="19" s="1"/>
  <c r="C91" i="19" s="1"/>
  <c r="D138" i="17"/>
  <c r="B139" i="17" s="1"/>
  <c r="C139" i="17" s="1"/>
  <c r="D139" i="17" s="1"/>
  <c r="B140" i="17" s="1"/>
  <c r="C140" i="17" s="1"/>
  <c r="D140" i="17" s="1"/>
  <c r="B141" i="17" s="1"/>
  <c r="C141" i="17" s="1"/>
  <c r="D141" i="17" s="1"/>
  <c r="B142" i="17" s="1"/>
  <c r="C142" i="17" s="1"/>
  <c r="D142" i="17" s="1"/>
  <c r="B143" i="17" s="1"/>
  <c r="C143" i="17" s="1"/>
  <c r="D143" i="17" s="1"/>
  <c r="B144" i="17" s="1"/>
  <c r="C144" i="17" s="1"/>
  <c r="D144" i="17" s="1"/>
  <c r="B145" i="17" s="1"/>
  <c r="C145" i="17" s="1"/>
  <c r="D145" i="17" s="1"/>
  <c r="B146" i="17" s="1"/>
  <c r="C146" i="17" s="1"/>
  <c r="D146" i="17" s="1"/>
  <c r="B147" i="17" s="1"/>
  <c r="C147" i="17" s="1"/>
  <c r="D147" i="17" s="1"/>
  <c r="D149" i="17" s="1"/>
  <c r="D112" i="17"/>
  <c r="B113" i="17" s="1"/>
  <c r="C113" i="17" s="1"/>
  <c r="D113" i="17" s="1"/>
  <c r="B114" i="17" s="1"/>
  <c r="C114" i="17" s="1"/>
  <c r="D114" i="17" s="1"/>
  <c r="B115" i="17" s="1"/>
  <c r="C115" i="17" s="1"/>
  <c r="D115" i="17" s="1"/>
  <c r="B116" i="17" s="1"/>
  <c r="C116" i="17" s="1"/>
  <c r="D116" i="17" s="1"/>
  <c r="B117" i="17" s="1"/>
  <c r="C117" i="17" s="1"/>
  <c r="D117" i="17" s="1"/>
  <c r="B118" i="17" s="1"/>
  <c r="C118" i="17" s="1"/>
  <c r="D118" i="17" s="1"/>
  <c r="B119" i="17" s="1"/>
  <c r="C119" i="17" s="1"/>
  <c r="D119" i="17" s="1"/>
  <c r="B120" i="17" s="1"/>
  <c r="C120" i="17" s="1"/>
  <c r="D120" i="17" s="1"/>
  <c r="B121" i="17" s="1"/>
  <c r="C121" i="17" s="1"/>
  <c r="D121" i="17" s="1"/>
  <c r="D123" i="17" s="1"/>
  <c r="F123" i="17" s="1"/>
  <c r="C152" i="17" l="1"/>
  <c r="I13" i="9" s="1"/>
  <c r="D112" i="19"/>
  <c r="B113" i="19" s="1"/>
  <c r="C113" i="19" s="1"/>
  <c r="D113" i="19" s="1"/>
  <c r="B114" i="19" s="1"/>
  <c r="C114" i="19" s="1"/>
  <c r="D114" i="19" s="1"/>
  <c r="B115" i="19" s="1"/>
  <c r="C115" i="19" s="1"/>
  <c r="D115" i="19" s="1"/>
  <c r="B116" i="19" s="1"/>
  <c r="C116" i="19" s="1"/>
  <c r="D116" i="19" s="1"/>
  <c r="B117" i="19" s="1"/>
  <c r="C117" i="19" s="1"/>
  <c r="D117" i="19" s="1"/>
  <c r="B118" i="19" s="1"/>
  <c r="C118" i="19" s="1"/>
  <c r="D118" i="19" s="1"/>
  <c r="B119" i="19" s="1"/>
  <c r="C119" i="19" s="1"/>
  <c r="D119" i="19" s="1"/>
  <c r="B120" i="19" s="1"/>
  <c r="C120" i="19" s="1"/>
  <c r="D120" i="19" s="1"/>
  <c r="B121" i="19" s="1"/>
  <c r="C121" i="19" s="1"/>
  <c r="D121" i="19" s="1"/>
  <c r="D123" i="19" s="1"/>
  <c r="F123" i="19" s="1"/>
  <c r="D138" i="19"/>
  <c r="B139" i="19" s="1"/>
  <c r="C139" i="19" s="1"/>
  <c r="D139" i="19" s="1"/>
  <c r="B140" i="19" s="1"/>
  <c r="C140" i="19" s="1"/>
  <c r="D140" i="19" s="1"/>
  <c r="B141" i="19" s="1"/>
  <c r="C141" i="19" s="1"/>
  <c r="D141" i="19" s="1"/>
  <c r="B142" i="19" s="1"/>
  <c r="C142" i="19" s="1"/>
  <c r="D142" i="19" s="1"/>
  <c r="B143" i="19" s="1"/>
  <c r="C143" i="19" s="1"/>
  <c r="D143" i="19" s="1"/>
  <c r="B144" i="19" s="1"/>
  <c r="C144" i="19" s="1"/>
  <c r="D144" i="19" s="1"/>
  <c r="B145" i="19" s="1"/>
  <c r="C145" i="19" s="1"/>
  <c r="D145" i="19" s="1"/>
  <c r="B146" i="19" s="1"/>
  <c r="C146" i="19" s="1"/>
  <c r="D146" i="19" s="1"/>
  <c r="B147" i="19" s="1"/>
  <c r="C147" i="19" s="1"/>
  <c r="D147" i="19" s="1"/>
  <c r="D149" i="19" s="1"/>
  <c r="B152" i="17"/>
  <c r="B152" i="19" l="1"/>
  <c r="C152" i="19"/>
  <c r="I14" i="9" s="1"/>
  <c r="Q12" i="9" l="1"/>
  <c r="Q11" i="9"/>
  <c r="C2" i="14"/>
  <c r="C2" i="13"/>
  <c r="C2" i="12"/>
  <c r="C2" i="11"/>
  <c r="C2" i="10"/>
  <c r="C14" i="14"/>
  <c r="C13" i="14"/>
  <c r="C14" i="13"/>
  <c r="C13" i="13"/>
  <c r="C14" i="12"/>
  <c r="C45" i="12" s="1"/>
  <c r="C13" i="12"/>
  <c r="C14" i="11"/>
  <c r="C13" i="11"/>
  <c r="C56" i="14"/>
  <c r="C25" i="14"/>
  <c r="C22" i="14"/>
  <c r="C18" i="14"/>
  <c r="C17" i="14"/>
  <c r="C12" i="14"/>
  <c r="C11" i="14"/>
  <c r="C10" i="14"/>
  <c r="C9" i="14"/>
  <c r="C8" i="14"/>
  <c r="C6" i="14"/>
  <c r="C5" i="14"/>
  <c r="C56" i="13"/>
  <c r="C25" i="13"/>
  <c r="C22" i="13"/>
  <c r="C18" i="13"/>
  <c r="C17" i="13"/>
  <c r="C12" i="13"/>
  <c r="C11" i="13"/>
  <c r="C10" i="13"/>
  <c r="C9" i="13"/>
  <c r="C8" i="13"/>
  <c r="C6" i="13"/>
  <c r="C5" i="13"/>
  <c r="C56" i="12"/>
  <c r="C25" i="12"/>
  <c r="C22" i="12"/>
  <c r="C18" i="12"/>
  <c r="C17" i="12"/>
  <c r="C12" i="12"/>
  <c r="C11" i="12"/>
  <c r="C94" i="12" s="1"/>
  <c r="C10" i="12"/>
  <c r="C9" i="12"/>
  <c r="C8" i="12"/>
  <c r="C6" i="12"/>
  <c r="C5" i="12"/>
  <c r="C56" i="11"/>
  <c r="C25" i="11"/>
  <c r="C22" i="11"/>
  <c r="C18" i="11"/>
  <c r="C17" i="11"/>
  <c r="C12" i="11"/>
  <c r="C11" i="11"/>
  <c r="C94" i="11" s="1"/>
  <c r="C10" i="11"/>
  <c r="C9" i="11"/>
  <c r="C8" i="11"/>
  <c r="C6" i="11"/>
  <c r="C5" i="11"/>
  <c r="C14" i="10"/>
  <c r="C13" i="10"/>
  <c r="C56" i="10"/>
  <c r="C25" i="10"/>
  <c r="C22" i="10"/>
  <c r="C18" i="10"/>
  <c r="C17" i="10"/>
  <c r="C12" i="10"/>
  <c r="C11" i="10"/>
  <c r="C10" i="10"/>
  <c r="C9" i="10"/>
  <c r="C8" i="10"/>
  <c r="C6" i="10"/>
  <c r="C5" i="10"/>
  <c r="C29" i="10" l="1"/>
  <c r="C35" i="10" s="1"/>
  <c r="C33" i="13"/>
  <c r="C34" i="13" s="1"/>
  <c r="C39" i="11"/>
  <c r="C55" i="11" s="1"/>
  <c r="C44" i="13"/>
  <c r="C45" i="11"/>
  <c r="C45" i="13"/>
  <c r="C29" i="11"/>
  <c r="C29" i="12"/>
  <c r="C35" i="12" s="1"/>
  <c r="C29" i="13"/>
  <c r="C35" i="13" s="1"/>
  <c r="C29" i="14"/>
  <c r="C35" i="14" s="1"/>
  <c r="C45" i="14"/>
  <c r="C33" i="10"/>
  <c r="C34" i="10" s="1"/>
  <c r="C44" i="10"/>
  <c r="C45" i="10"/>
  <c r="C39" i="12"/>
  <c r="C55" i="12" s="1"/>
  <c r="C44" i="14"/>
  <c r="C40" i="10"/>
  <c r="C57" i="10" s="1"/>
  <c r="C44" i="11"/>
  <c r="C40" i="14"/>
  <c r="C57" i="14" s="1"/>
  <c r="C40" i="13"/>
  <c r="C58" i="13" s="1"/>
  <c r="C30" i="12"/>
  <c r="C46" i="12" s="1"/>
  <c r="C44" i="12"/>
  <c r="C30" i="14"/>
  <c r="C39" i="14"/>
  <c r="C33" i="14"/>
  <c r="C34" i="14" s="1"/>
  <c r="C94" i="14"/>
  <c r="C30" i="13"/>
  <c r="C39" i="13"/>
  <c r="C94" i="13"/>
  <c r="C33" i="12"/>
  <c r="C34" i="12" s="1"/>
  <c r="C40" i="12"/>
  <c r="C35" i="11"/>
  <c r="C30" i="11"/>
  <c r="C33" i="11"/>
  <c r="C34" i="11" s="1"/>
  <c r="C40" i="11"/>
  <c r="C58" i="10"/>
  <c r="C30" i="10"/>
  <c r="C39" i="10"/>
  <c r="C94" i="10"/>
  <c r="C10" i="8"/>
  <c r="C47" i="12" l="1"/>
  <c r="C79" i="12" s="1"/>
  <c r="C51" i="12"/>
  <c r="C52" i="12" s="1"/>
  <c r="C41" i="12"/>
  <c r="C42" i="12" s="1"/>
  <c r="C58" i="14"/>
  <c r="C57" i="13"/>
  <c r="C46" i="14"/>
  <c r="C41" i="14"/>
  <c r="C42" i="14" s="1"/>
  <c r="C51" i="14"/>
  <c r="C52" i="14" s="1"/>
  <c r="C55" i="14"/>
  <c r="C55" i="13"/>
  <c r="C46" i="13"/>
  <c r="C41" i="13"/>
  <c r="C51" i="13"/>
  <c r="C52" i="13" s="1"/>
  <c r="C58" i="12"/>
  <c r="C57" i="12"/>
  <c r="C58" i="11"/>
  <c r="C57" i="11"/>
  <c r="C51" i="11"/>
  <c r="C52" i="11" s="1"/>
  <c r="C41" i="11"/>
  <c r="C46" i="11"/>
  <c r="C55" i="10"/>
  <c r="C46" i="10"/>
  <c r="C41" i="10"/>
  <c r="C42" i="10" s="1"/>
  <c r="C51" i="10"/>
  <c r="C52" i="10" s="1"/>
  <c r="C21" i="8"/>
  <c r="C81" i="12" l="1"/>
  <c r="C102" i="12"/>
  <c r="C128" i="12" s="1"/>
  <c r="C59" i="12"/>
  <c r="C60" i="12"/>
  <c r="C71" i="12" s="1"/>
  <c r="C59" i="14"/>
  <c r="C60" i="14" s="1"/>
  <c r="C102" i="14"/>
  <c r="C128" i="14" s="1"/>
  <c r="C47" i="14"/>
  <c r="C79" i="14" s="1"/>
  <c r="C81" i="14"/>
  <c r="C59" i="13"/>
  <c r="C102" i="13"/>
  <c r="C128" i="13" s="1"/>
  <c r="C47" i="13"/>
  <c r="C79" i="13" s="1"/>
  <c r="C42" i="13"/>
  <c r="C81" i="13"/>
  <c r="C59" i="11"/>
  <c r="C47" i="11"/>
  <c r="C79" i="11" s="1"/>
  <c r="C42" i="11"/>
  <c r="C81" i="11"/>
  <c r="C102" i="11"/>
  <c r="C128" i="11" s="1"/>
  <c r="C59" i="10"/>
  <c r="C60" i="10" s="1"/>
  <c r="C102" i="10"/>
  <c r="C128" i="10" s="1"/>
  <c r="C47" i="10"/>
  <c r="C79" i="10" s="1"/>
  <c r="C81" i="10"/>
  <c r="C56" i="7"/>
  <c r="C61" i="12" l="1"/>
  <c r="C63" i="12" s="1"/>
  <c r="C70" i="12"/>
  <c r="C60" i="13"/>
  <c r="C95" i="13" s="1"/>
  <c r="C72" i="12"/>
  <c r="C95" i="12"/>
  <c r="C60" i="11"/>
  <c r="C95" i="11" s="1"/>
  <c r="C69" i="12"/>
  <c r="C73" i="12"/>
  <c r="C95" i="14"/>
  <c r="C61" i="14"/>
  <c r="C72" i="14"/>
  <c r="C71" i="14"/>
  <c r="C70" i="14"/>
  <c r="C69" i="14"/>
  <c r="C73" i="14"/>
  <c r="C64" i="12"/>
  <c r="C95" i="10"/>
  <c r="C61" i="10"/>
  <c r="C72" i="10"/>
  <c r="C71" i="10"/>
  <c r="C70" i="10"/>
  <c r="C69" i="10"/>
  <c r="C73" i="10"/>
  <c r="I16" i="9"/>
  <c r="C14" i="7"/>
  <c r="C13" i="7"/>
  <c r="C71" i="11" l="1"/>
  <c r="C71" i="13"/>
  <c r="C73" i="13"/>
  <c r="C72" i="13"/>
  <c r="C61" i="11"/>
  <c r="C64" i="11" s="1"/>
  <c r="C70" i="13"/>
  <c r="C61" i="13"/>
  <c r="C63" i="13" s="1"/>
  <c r="C69" i="13"/>
  <c r="C75" i="12"/>
  <c r="C80" i="12" s="1"/>
  <c r="C73" i="11"/>
  <c r="C70" i="11"/>
  <c r="C69" i="11"/>
  <c r="C72" i="11"/>
  <c r="C75" i="14"/>
  <c r="C64" i="14"/>
  <c r="C63" i="14"/>
  <c r="C64" i="10"/>
  <c r="C63" i="10"/>
  <c r="C75" i="10"/>
  <c r="C97" i="12" l="1"/>
  <c r="C64" i="13"/>
  <c r="C75" i="11"/>
  <c r="C97" i="11" s="1"/>
  <c r="C75" i="13"/>
  <c r="C97" i="13" s="1"/>
  <c r="C63" i="11"/>
  <c r="C80" i="14"/>
  <c r="C97" i="14"/>
  <c r="C126" i="12"/>
  <c r="C131" i="12" s="1"/>
  <c r="C132" i="12" s="1"/>
  <c r="C100" i="12"/>
  <c r="C105" i="12" s="1"/>
  <c r="C106" i="12" s="1"/>
  <c r="C112" i="12"/>
  <c r="C138" i="12"/>
  <c r="C84" i="12"/>
  <c r="C85" i="12" s="1"/>
  <c r="C80" i="10"/>
  <c r="C97" i="10"/>
  <c r="C20" i="8"/>
  <c r="C17" i="8"/>
  <c r="C16" i="8"/>
  <c r="C13" i="8"/>
  <c r="C12" i="8"/>
  <c r="C11" i="8"/>
  <c r="C9" i="8"/>
  <c r="C41" i="8" l="1"/>
  <c r="C80" i="11"/>
  <c r="C84" i="11" s="1"/>
  <c r="C85" i="11" s="1"/>
  <c r="C80" i="13"/>
  <c r="C84" i="13" s="1"/>
  <c r="C85" i="13" s="1"/>
  <c r="C100" i="14"/>
  <c r="C105" i="14" s="1"/>
  <c r="C106" i="14" s="1"/>
  <c r="C126" i="14"/>
  <c r="C131" i="14" s="1"/>
  <c r="C132" i="14" s="1"/>
  <c r="C112" i="14"/>
  <c r="C138" i="14"/>
  <c r="C84" i="14"/>
  <c r="C85" i="14" s="1"/>
  <c r="C100" i="13"/>
  <c r="C105" i="13" s="1"/>
  <c r="C106" i="13" s="1"/>
  <c r="C126" i="13"/>
  <c r="C131" i="13" s="1"/>
  <c r="C132" i="13" s="1"/>
  <c r="C112" i="13"/>
  <c r="C138" i="13"/>
  <c r="C88" i="12"/>
  <c r="C89" i="12" s="1"/>
  <c r="C91" i="12" s="1"/>
  <c r="C100" i="11"/>
  <c r="C105" i="11" s="1"/>
  <c r="C106" i="11" s="1"/>
  <c r="C126" i="11"/>
  <c r="C131" i="11" s="1"/>
  <c r="C132" i="11" s="1"/>
  <c r="C100" i="10"/>
  <c r="C105" i="10" s="1"/>
  <c r="C106" i="10" s="1"/>
  <c r="C126" i="10"/>
  <c r="C131" i="10" s="1"/>
  <c r="C132" i="10" s="1"/>
  <c r="C112" i="10"/>
  <c r="C138" i="10"/>
  <c r="C84" i="10"/>
  <c r="C85" i="10" s="1"/>
  <c r="C35" i="8"/>
  <c r="C112" i="11" l="1"/>
  <c r="C138" i="11"/>
  <c r="F42" i="8"/>
  <c r="C88" i="14"/>
  <c r="C89" i="14" s="1"/>
  <c r="C91" i="14" s="1"/>
  <c r="C88" i="13"/>
  <c r="C89" i="13" s="1"/>
  <c r="C91" i="13" s="1"/>
  <c r="D112" i="12"/>
  <c r="B113" i="12" s="1"/>
  <c r="C113" i="12" s="1"/>
  <c r="D113" i="12" s="1"/>
  <c r="B114" i="12" s="1"/>
  <c r="C114" i="12" s="1"/>
  <c r="D114" i="12" s="1"/>
  <c r="B115" i="12" s="1"/>
  <c r="C115" i="12" s="1"/>
  <c r="D115" i="12" s="1"/>
  <c r="B116" i="12" s="1"/>
  <c r="C116" i="12" s="1"/>
  <c r="D116" i="12" s="1"/>
  <c r="B117" i="12" s="1"/>
  <c r="C117" i="12" s="1"/>
  <c r="D117" i="12" s="1"/>
  <c r="B118" i="12" s="1"/>
  <c r="C118" i="12" s="1"/>
  <c r="D118" i="12" s="1"/>
  <c r="B119" i="12" s="1"/>
  <c r="C119" i="12" s="1"/>
  <c r="D119" i="12" s="1"/>
  <c r="B120" i="12" s="1"/>
  <c r="C120" i="12" s="1"/>
  <c r="D120" i="12" s="1"/>
  <c r="B121" i="12" s="1"/>
  <c r="C121" i="12" s="1"/>
  <c r="D121" i="12" s="1"/>
  <c r="D123" i="12" s="1"/>
  <c r="F123" i="12" s="1"/>
  <c r="D138" i="12"/>
  <c r="B139" i="12" s="1"/>
  <c r="C139" i="12" s="1"/>
  <c r="D139" i="12" s="1"/>
  <c r="B140" i="12" s="1"/>
  <c r="C140" i="12" s="1"/>
  <c r="D140" i="12" s="1"/>
  <c r="B141" i="12" s="1"/>
  <c r="C141" i="12" s="1"/>
  <c r="D141" i="12" s="1"/>
  <c r="B142" i="12" s="1"/>
  <c r="C142" i="12" s="1"/>
  <c r="D142" i="12" s="1"/>
  <c r="B143" i="12" s="1"/>
  <c r="C143" i="12" s="1"/>
  <c r="D143" i="12" s="1"/>
  <c r="B144" i="12" s="1"/>
  <c r="C144" i="12" s="1"/>
  <c r="D144" i="12" s="1"/>
  <c r="B145" i="12" s="1"/>
  <c r="C145" i="12" s="1"/>
  <c r="D145" i="12" s="1"/>
  <c r="B146" i="12" s="1"/>
  <c r="C146" i="12" s="1"/>
  <c r="D146" i="12" s="1"/>
  <c r="B147" i="12" s="1"/>
  <c r="C147" i="12" s="1"/>
  <c r="D147" i="12" s="1"/>
  <c r="D149" i="12" s="1"/>
  <c r="C88" i="11"/>
  <c r="C89" i="11" s="1"/>
  <c r="C91" i="11" s="1"/>
  <c r="C88" i="10"/>
  <c r="C89" i="10" s="1"/>
  <c r="C91" i="10" s="1"/>
  <c r="C2" i="7"/>
  <c r="C25" i="7"/>
  <c r="C22" i="7"/>
  <c r="C18" i="7"/>
  <c r="C17" i="7"/>
  <c r="C12" i="7"/>
  <c r="C11" i="7"/>
  <c r="C10" i="7"/>
  <c r="C9" i="7"/>
  <c r="C8" i="7"/>
  <c r="C6" i="7"/>
  <c r="C5" i="7"/>
  <c r="C152" i="12" l="1"/>
  <c r="I10" i="9" s="1"/>
  <c r="B152" i="12"/>
  <c r="D112" i="14"/>
  <c r="B113" i="14" s="1"/>
  <c r="C113" i="14" s="1"/>
  <c r="D113" i="14" s="1"/>
  <c r="B114" i="14" s="1"/>
  <c r="C114" i="14" s="1"/>
  <c r="D114" i="14" s="1"/>
  <c r="B115" i="14" s="1"/>
  <c r="C115" i="14" s="1"/>
  <c r="D115" i="14" s="1"/>
  <c r="B116" i="14" s="1"/>
  <c r="C116" i="14" s="1"/>
  <c r="D116" i="14" s="1"/>
  <c r="B117" i="14" s="1"/>
  <c r="C117" i="14" s="1"/>
  <c r="D117" i="14" s="1"/>
  <c r="B118" i="14" s="1"/>
  <c r="C118" i="14" s="1"/>
  <c r="D118" i="14" s="1"/>
  <c r="B119" i="14" s="1"/>
  <c r="C119" i="14" s="1"/>
  <c r="D119" i="14" s="1"/>
  <c r="B120" i="14" s="1"/>
  <c r="C120" i="14" s="1"/>
  <c r="D120" i="14" s="1"/>
  <c r="B121" i="14" s="1"/>
  <c r="C121" i="14" s="1"/>
  <c r="D121" i="14" s="1"/>
  <c r="D123" i="14" s="1"/>
  <c r="F123" i="14" s="1"/>
  <c r="D138" i="14"/>
  <c r="B139" i="14" s="1"/>
  <c r="C139" i="14" s="1"/>
  <c r="D139" i="14" s="1"/>
  <c r="B140" i="14" s="1"/>
  <c r="C140" i="14" s="1"/>
  <c r="D140" i="14" s="1"/>
  <c r="B141" i="14" s="1"/>
  <c r="C141" i="14" s="1"/>
  <c r="D141" i="14" s="1"/>
  <c r="B142" i="14" s="1"/>
  <c r="C142" i="14" s="1"/>
  <c r="D142" i="14" s="1"/>
  <c r="B143" i="14" s="1"/>
  <c r="C143" i="14" s="1"/>
  <c r="D143" i="14" s="1"/>
  <c r="B144" i="14" s="1"/>
  <c r="C144" i="14" s="1"/>
  <c r="D144" i="14" s="1"/>
  <c r="B145" i="14" s="1"/>
  <c r="C145" i="14" s="1"/>
  <c r="D145" i="14" s="1"/>
  <c r="B146" i="14" s="1"/>
  <c r="C146" i="14" s="1"/>
  <c r="D146" i="14" s="1"/>
  <c r="B147" i="14" s="1"/>
  <c r="C147" i="14" s="1"/>
  <c r="D147" i="14" s="1"/>
  <c r="D149" i="14" s="1"/>
  <c r="D112" i="13"/>
  <c r="B113" i="13" s="1"/>
  <c r="C113" i="13" s="1"/>
  <c r="D113" i="13" s="1"/>
  <c r="B114" i="13" s="1"/>
  <c r="C114" i="13" s="1"/>
  <c r="D114" i="13" s="1"/>
  <c r="B115" i="13" s="1"/>
  <c r="C115" i="13" s="1"/>
  <c r="D115" i="13" s="1"/>
  <c r="B116" i="13" s="1"/>
  <c r="C116" i="13" s="1"/>
  <c r="D116" i="13" s="1"/>
  <c r="B117" i="13" s="1"/>
  <c r="C117" i="13" s="1"/>
  <c r="D117" i="13" s="1"/>
  <c r="B118" i="13" s="1"/>
  <c r="C118" i="13" s="1"/>
  <c r="D118" i="13" s="1"/>
  <c r="B119" i="13" s="1"/>
  <c r="C119" i="13" s="1"/>
  <c r="D119" i="13" s="1"/>
  <c r="B120" i="13" s="1"/>
  <c r="C120" i="13" s="1"/>
  <c r="D120" i="13" s="1"/>
  <c r="B121" i="13" s="1"/>
  <c r="C121" i="13" s="1"/>
  <c r="D121" i="13" s="1"/>
  <c r="D123" i="13" s="1"/>
  <c r="F123" i="13" s="1"/>
  <c r="D138" i="13"/>
  <c r="B139" i="13" s="1"/>
  <c r="C139" i="13" s="1"/>
  <c r="D139" i="13" s="1"/>
  <c r="B140" i="13" s="1"/>
  <c r="C140" i="13" s="1"/>
  <c r="D140" i="13" s="1"/>
  <c r="B141" i="13" s="1"/>
  <c r="C141" i="13" s="1"/>
  <c r="D141" i="13" s="1"/>
  <c r="B142" i="13" s="1"/>
  <c r="C142" i="13" s="1"/>
  <c r="D142" i="13" s="1"/>
  <c r="B143" i="13" s="1"/>
  <c r="C143" i="13" s="1"/>
  <c r="D143" i="13" s="1"/>
  <c r="B144" i="13" s="1"/>
  <c r="C144" i="13" s="1"/>
  <c r="D144" i="13" s="1"/>
  <c r="B145" i="13" s="1"/>
  <c r="C145" i="13" s="1"/>
  <c r="D145" i="13" s="1"/>
  <c r="B146" i="13" s="1"/>
  <c r="C146" i="13" s="1"/>
  <c r="D146" i="13" s="1"/>
  <c r="B147" i="13" s="1"/>
  <c r="C147" i="13" s="1"/>
  <c r="D147" i="13" s="1"/>
  <c r="D149" i="13" s="1"/>
  <c r="D112" i="11"/>
  <c r="B113" i="11" s="1"/>
  <c r="C113" i="11" s="1"/>
  <c r="D113" i="11" s="1"/>
  <c r="B114" i="11" s="1"/>
  <c r="C114" i="11" s="1"/>
  <c r="D114" i="11" s="1"/>
  <c r="B115" i="11" s="1"/>
  <c r="C115" i="11" s="1"/>
  <c r="D115" i="11" s="1"/>
  <c r="B116" i="11" s="1"/>
  <c r="C116" i="11" s="1"/>
  <c r="D116" i="11" s="1"/>
  <c r="B117" i="11" s="1"/>
  <c r="C117" i="11" s="1"/>
  <c r="D117" i="11" s="1"/>
  <c r="B118" i="11" s="1"/>
  <c r="C118" i="11" s="1"/>
  <c r="D118" i="11" s="1"/>
  <c r="B119" i="11" s="1"/>
  <c r="C119" i="11" s="1"/>
  <c r="D119" i="11" s="1"/>
  <c r="B120" i="11" s="1"/>
  <c r="C120" i="11" s="1"/>
  <c r="D120" i="11" s="1"/>
  <c r="B121" i="11" s="1"/>
  <c r="C121" i="11" s="1"/>
  <c r="D121" i="11" s="1"/>
  <c r="D123" i="11" s="1"/>
  <c r="F123" i="11" s="1"/>
  <c r="D138" i="11"/>
  <c r="B139" i="11" s="1"/>
  <c r="C139" i="11" s="1"/>
  <c r="D139" i="11" s="1"/>
  <c r="B140" i="11" s="1"/>
  <c r="C140" i="11" s="1"/>
  <c r="D140" i="11" s="1"/>
  <c r="B141" i="11" s="1"/>
  <c r="C141" i="11" s="1"/>
  <c r="D141" i="11" s="1"/>
  <c r="B142" i="11" s="1"/>
  <c r="C142" i="11" s="1"/>
  <c r="D142" i="11" s="1"/>
  <c r="B143" i="11" s="1"/>
  <c r="C143" i="11" s="1"/>
  <c r="D143" i="11" s="1"/>
  <c r="B144" i="11" s="1"/>
  <c r="C144" i="11" s="1"/>
  <c r="D144" i="11" s="1"/>
  <c r="B145" i="11" s="1"/>
  <c r="C145" i="11" s="1"/>
  <c r="D145" i="11" s="1"/>
  <c r="B146" i="11" s="1"/>
  <c r="C146" i="11" s="1"/>
  <c r="D146" i="11" s="1"/>
  <c r="B147" i="11" s="1"/>
  <c r="C147" i="11" s="1"/>
  <c r="D147" i="11" s="1"/>
  <c r="D149" i="11" s="1"/>
  <c r="D112" i="10"/>
  <c r="B113" i="10" s="1"/>
  <c r="C113" i="10" s="1"/>
  <c r="D113" i="10" s="1"/>
  <c r="B114" i="10" s="1"/>
  <c r="C114" i="10" s="1"/>
  <c r="D114" i="10" s="1"/>
  <c r="B115" i="10" s="1"/>
  <c r="C115" i="10" s="1"/>
  <c r="D115" i="10" s="1"/>
  <c r="B116" i="10" s="1"/>
  <c r="C116" i="10" s="1"/>
  <c r="D116" i="10" s="1"/>
  <c r="B117" i="10" s="1"/>
  <c r="C117" i="10" s="1"/>
  <c r="D117" i="10" s="1"/>
  <c r="B118" i="10" s="1"/>
  <c r="C118" i="10" s="1"/>
  <c r="D118" i="10" s="1"/>
  <c r="B119" i="10" s="1"/>
  <c r="C119" i="10" s="1"/>
  <c r="D119" i="10" s="1"/>
  <c r="B120" i="10" s="1"/>
  <c r="C120" i="10" s="1"/>
  <c r="D120" i="10" s="1"/>
  <c r="B121" i="10" s="1"/>
  <c r="C121" i="10" s="1"/>
  <c r="D121" i="10" s="1"/>
  <c r="D123" i="10" s="1"/>
  <c r="F123" i="10" s="1"/>
  <c r="D138" i="10"/>
  <c r="B139" i="10" s="1"/>
  <c r="C139" i="10" s="1"/>
  <c r="D139" i="10" s="1"/>
  <c r="B140" i="10" s="1"/>
  <c r="C140" i="10" s="1"/>
  <c r="D140" i="10" s="1"/>
  <c r="B141" i="10" s="1"/>
  <c r="C141" i="10" s="1"/>
  <c r="D141" i="10" s="1"/>
  <c r="B142" i="10" s="1"/>
  <c r="C142" i="10" s="1"/>
  <c r="D142" i="10" s="1"/>
  <c r="B143" i="10" s="1"/>
  <c r="C143" i="10" s="1"/>
  <c r="D143" i="10" s="1"/>
  <c r="B144" i="10" s="1"/>
  <c r="C144" i="10" s="1"/>
  <c r="D144" i="10" s="1"/>
  <c r="B145" i="10" s="1"/>
  <c r="C145" i="10" s="1"/>
  <c r="D145" i="10" s="1"/>
  <c r="B146" i="10" s="1"/>
  <c r="C146" i="10" s="1"/>
  <c r="D146" i="10" s="1"/>
  <c r="B147" i="10" s="1"/>
  <c r="C147" i="10" s="1"/>
  <c r="D147" i="10" s="1"/>
  <c r="D149" i="10" s="1"/>
  <c r="C29" i="7"/>
  <c r="C94" i="7"/>
  <c r="C33" i="7"/>
  <c r="C34" i="7" s="1"/>
  <c r="C45" i="7"/>
  <c r="C44" i="7"/>
  <c r="C40" i="7"/>
  <c r="C39" i="7"/>
  <c r="C46" i="8"/>
  <c r="C26" i="8"/>
  <c r="C31" i="8" s="1"/>
  <c r="C25" i="8"/>
  <c r="C30" i="8" s="1"/>
  <c r="C152" i="14" l="1"/>
  <c r="I12" i="9" s="1"/>
  <c r="C152" i="13"/>
  <c r="I11" i="9" s="1"/>
  <c r="C152" i="10"/>
  <c r="I8" i="9" s="1"/>
  <c r="B152" i="13"/>
  <c r="B152" i="10"/>
  <c r="C152" i="11"/>
  <c r="I9" i="9" s="1"/>
  <c r="B152" i="14"/>
  <c r="B152" i="11"/>
  <c r="C55" i="7"/>
  <c r="C58" i="7"/>
  <c r="C57" i="7"/>
  <c r="C47" i="8"/>
  <c r="C48" i="8" s="1"/>
  <c r="C32" i="8"/>
  <c r="C34" i="8" s="1"/>
  <c r="C37" i="8" l="1"/>
  <c r="C38" i="8" s="1"/>
  <c r="C35" i="7"/>
  <c r="C42" i="8" l="1"/>
  <c r="C30" i="7"/>
  <c r="C43" i="8" l="1"/>
  <c r="F8" i="8" s="1"/>
  <c r="F43" i="8"/>
  <c r="C46" i="7"/>
  <c r="C41" i="7"/>
  <c r="C51" i="7"/>
  <c r="C53" i="8" l="1"/>
  <c r="C50" i="8"/>
  <c r="I6" i="9" s="1"/>
  <c r="J15" i="9" s="1"/>
  <c r="C102" i="7"/>
  <c r="C59" i="7"/>
  <c r="C47" i="7"/>
  <c r="C79" i="7" s="1"/>
  <c r="C42" i="7"/>
  <c r="C81" i="7"/>
  <c r="C52" i="7"/>
  <c r="J16" i="9" l="1"/>
  <c r="J14" i="9"/>
  <c r="J11" i="9"/>
  <c r="J13" i="9"/>
  <c r="J9" i="9"/>
  <c r="J6" i="9"/>
  <c r="J12" i="9"/>
  <c r="J8" i="9"/>
  <c r="J10" i="9"/>
  <c r="C60" i="7"/>
  <c r="C128" i="7"/>
  <c r="C95" i="7" l="1"/>
  <c r="C73" i="7"/>
  <c r="C72" i="7"/>
  <c r="C71" i="7"/>
  <c r="C70" i="7"/>
  <c r="C69" i="7"/>
  <c r="C61" i="7"/>
  <c r="C75" i="7" l="1"/>
  <c r="C97" i="7" s="1"/>
  <c r="C126" i="7" s="1"/>
  <c r="C63" i="7"/>
  <c r="C80" i="7" l="1"/>
  <c r="C84" i="7" s="1"/>
  <c r="C85" i="7" s="1"/>
  <c r="C88" i="7" s="1"/>
  <c r="C64" i="7"/>
  <c r="C138" i="7" l="1"/>
  <c r="C112" i="7"/>
  <c r="C100" i="7"/>
  <c r="C105" i="7" s="1"/>
  <c r="C106" i="7" s="1"/>
  <c r="C131" i="7"/>
  <c r="C132" i="7" s="1"/>
  <c r="C89" i="7"/>
  <c r="C91" i="7" s="1"/>
  <c r="D138" i="7" l="1"/>
  <c r="B139" i="7" s="1"/>
  <c r="C139" i="7" s="1"/>
  <c r="D112" i="7"/>
  <c r="B113" i="7" s="1"/>
  <c r="C113" i="7" l="1"/>
  <c r="D113" i="7" s="1"/>
  <c r="B114" i="7" s="1"/>
  <c r="C114" i="7" s="1"/>
  <c r="D114" i="7" s="1"/>
  <c r="B115" i="7" s="1"/>
  <c r="D139" i="7"/>
  <c r="B140" i="7" l="1"/>
  <c r="C140" i="7" s="1"/>
  <c r="D140" i="7" s="1"/>
  <c r="C115" i="7"/>
  <c r="D115" i="7" s="1"/>
  <c r="B141" i="7" l="1"/>
  <c r="C141" i="7" s="1"/>
  <c r="D141" i="7" s="1"/>
  <c r="B142" i="7" l="1"/>
  <c r="C142" i="7" s="1"/>
  <c r="D142" i="7" s="1"/>
  <c r="B116" i="7"/>
  <c r="C116" i="7" s="1"/>
  <c r="D116" i="7" s="1"/>
  <c r="B143" i="7" l="1"/>
  <c r="C143" i="7" s="1"/>
  <c r="D143" i="7" s="1"/>
  <c r="B117" i="7"/>
  <c r="C117" i="7" s="1"/>
  <c r="B144" i="7" l="1"/>
  <c r="C144" i="7" s="1"/>
  <c r="D144" i="7" s="1"/>
  <c r="B145" i="7" s="1"/>
  <c r="C145" i="7" s="1"/>
  <c r="D145" i="7" s="1"/>
  <c r="D117" i="7"/>
  <c r="B118" i="7" s="1"/>
  <c r="C118" i="7" s="1"/>
  <c r="D118" i="7" l="1"/>
  <c r="B119" i="7" s="1"/>
  <c r="C119" i="7" s="1"/>
  <c r="B146" i="7"/>
  <c r="C146" i="7" s="1"/>
  <c r="D146" i="7" s="1"/>
  <c r="D119" i="7" l="1"/>
  <c r="B120" i="7" s="1"/>
  <c r="C120" i="7" s="1"/>
  <c r="B147" i="7"/>
  <c r="C147" i="7" s="1"/>
  <c r="D147" i="7" s="1"/>
  <c r="D149" i="7" s="1"/>
  <c r="D120" i="7" l="1"/>
  <c r="B121" i="7" s="1"/>
  <c r="C121" i="7" s="1"/>
  <c r="D121" i="7" l="1"/>
  <c r="D123" i="7" s="1"/>
  <c r="F123" i="7" s="1"/>
  <c r="C152" i="7" l="1"/>
  <c r="I7" i="9" s="1"/>
  <c r="J7" i="9" s="1"/>
  <c r="B152" i="7"/>
</calcChain>
</file>

<file path=xl/sharedStrings.xml><?xml version="1.0" encoding="utf-8"?>
<sst xmlns="http://schemas.openxmlformats.org/spreadsheetml/2006/main" count="1808" uniqueCount="198">
  <si>
    <t>Lipped Channel Section</t>
  </si>
  <si>
    <t>d</t>
  </si>
  <si>
    <t>mm</t>
  </si>
  <si>
    <t>b</t>
  </si>
  <si>
    <t>c</t>
  </si>
  <si>
    <t>t</t>
  </si>
  <si>
    <t>MPa</t>
  </si>
  <si>
    <t>Squash load</t>
  </si>
  <si>
    <t>kN</t>
  </si>
  <si>
    <t>Local buckling load</t>
  </si>
  <si>
    <t>Slenderness</t>
  </si>
  <si>
    <t>Local buckling capacity</t>
  </si>
  <si>
    <t>HF</t>
  </si>
  <si>
    <t>HF Lip</t>
  </si>
  <si>
    <t>CF Lip</t>
  </si>
  <si>
    <t>CF</t>
  </si>
  <si>
    <t>Web</t>
  </si>
  <si>
    <t>kNm</t>
  </si>
  <si>
    <t>α</t>
  </si>
  <si>
    <t>Interaction equation at mid-height</t>
  </si>
  <si>
    <t>Buckling Capacity</t>
  </si>
  <si>
    <t>Flexural buckling capacity</t>
  </si>
  <si>
    <t xml:space="preserve">Squash load </t>
  </si>
  <si>
    <t>Local buckling moment</t>
  </si>
  <si>
    <t>1. Stud Section Dimensions and Properties</t>
  </si>
  <si>
    <t xml:space="preserve">3.1. Compression Member </t>
  </si>
  <si>
    <t>Local buckling load factor at ambient temperature</t>
  </si>
  <si>
    <t>Thickness of the Stud (BMT)</t>
  </si>
  <si>
    <t>Length of the Stud</t>
  </si>
  <si>
    <t>Gross Area of the Stud Section</t>
  </si>
  <si>
    <t>Second Moment of Area about Major Axis (x-axis)</t>
  </si>
  <si>
    <t>Stud Hot Flange Temperature (HF)</t>
  </si>
  <si>
    <t>Stud Cold Flange Temperature (CF)</t>
  </si>
  <si>
    <t>Elastic Modulus</t>
  </si>
  <si>
    <t xml:space="preserve">Yield Strength </t>
  </si>
  <si>
    <t>3.2. Flexural Bember</t>
  </si>
  <si>
    <t>Mean thermal expansion coefficient</t>
  </si>
  <si>
    <t>Thermal bowing deflection</t>
  </si>
  <si>
    <t>Nmm</t>
  </si>
  <si>
    <t>Neutral axis shift about the major axis</t>
  </si>
  <si>
    <t>Eccentricity at mid-height</t>
  </si>
  <si>
    <t>Eccentricity at support</t>
  </si>
  <si>
    <t>Section moment capacity with Buckling</t>
  </si>
  <si>
    <t>Critical local buckling moment</t>
  </si>
  <si>
    <t>Section moment Capacity at mid-height</t>
  </si>
  <si>
    <t>N*</t>
  </si>
  <si>
    <t>Ultimate Capacity of the stud at elevated temperature</t>
  </si>
  <si>
    <r>
      <t xml:space="preserve">DIRECT STRENGTH METHOD (DSM) </t>
    </r>
    <r>
      <rPr>
        <b/>
        <sz val="12"/>
        <color theme="1"/>
        <rFont val="Times New Roman"/>
        <family val="1"/>
      </rPr>
      <t>- Draft AS4600 (SA, 2017)</t>
    </r>
  </si>
  <si>
    <r>
      <t>A</t>
    </r>
    <r>
      <rPr>
        <b/>
        <vertAlign val="subscript"/>
        <sz val="12"/>
        <color theme="1"/>
        <rFont val="Times New Roman"/>
        <family val="1"/>
      </rPr>
      <t>g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</si>
  <si>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</si>
  <si>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b/>
        <vertAlign val="subscript"/>
        <sz val="12"/>
        <color theme="1"/>
        <rFont val="Times New Roman"/>
        <family val="1"/>
      </rPr>
      <t>xx</t>
    </r>
  </si>
  <si>
    <r>
      <t>mm</t>
    </r>
    <r>
      <rPr>
        <vertAlign val="superscript"/>
        <sz val="12"/>
        <color theme="1"/>
        <rFont val="Times New Roman"/>
        <family val="1"/>
      </rPr>
      <t>4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</si>
  <si>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</si>
  <si>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</si>
  <si>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T</t>
    </r>
    <r>
      <rPr>
        <b/>
        <vertAlign val="subscript"/>
        <sz val="12"/>
        <color theme="1"/>
        <rFont val="Times New Roman"/>
        <family val="1"/>
      </rPr>
      <t>HF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</si>
  <si>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</si>
  <si>
    <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</si>
  <si>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T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</si>
  <si>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20</t>
    </r>
  </si>
  <si>
    <r>
      <t>f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</si>
  <si>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se,20</t>
    </r>
  </si>
  <si>
    <r>
      <t>N</t>
    </r>
    <r>
      <rPr>
        <b/>
        <vertAlign val="subscript"/>
        <sz val="12"/>
        <color theme="1"/>
        <rFont val="Times New Roman"/>
        <family val="1"/>
      </rPr>
      <t>ol,20</t>
    </r>
  </si>
  <si>
    <r>
      <t>M</t>
    </r>
    <r>
      <rPr>
        <b/>
        <vertAlign val="subscript"/>
        <sz val="12"/>
        <color theme="1"/>
        <rFont val="Times New Roman"/>
        <family val="1"/>
      </rPr>
      <t>ol,20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</si>
  <si>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</si>
  <si>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</si>
  <si>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</si>
  <si>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avg</t>
    </r>
  </si>
  <si>
    <r>
      <t>f</t>
    </r>
    <r>
      <rPr>
        <b/>
        <vertAlign val="subscript"/>
        <sz val="12"/>
        <color theme="1"/>
        <rFont val="Times New Roman"/>
        <family val="1"/>
      </rPr>
      <t>y,HF</t>
    </r>
  </si>
  <si>
    <r>
      <t>f</t>
    </r>
    <r>
      <rPr>
        <b/>
        <vertAlign val="subscript"/>
        <sz val="12"/>
        <color theme="1"/>
        <rFont val="Times New Roman"/>
        <family val="1"/>
      </rPr>
      <t>y,CF</t>
    </r>
  </si>
  <si>
    <r>
      <t>f</t>
    </r>
    <r>
      <rPr>
        <b/>
        <vertAlign val="subscript"/>
        <sz val="12"/>
        <color theme="1"/>
        <rFont val="Times New Roman"/>
        <family val="1"/>
      </rPr>
      <t>y,Web</t>
    </r>
  </si>
  <si>
    <r>
      <t>f</t>
    </r>
    <r>
      <rPr>
        <b/>
        <vertAlign val="subscript"/>
        <sz val="12"/>
        <color theme="1"/>
        <rFont val="Times New Roman"/>
        <family val="1"/>
      </rPr>
      <t>y,avg</t>
    </r>
  </si>
  <si>
    <r>
      <t>α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</si>
  <si>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-1</t>
    </r>
  </si>
  <si>
    <r>
      <t>e</t>
    </r>
    <r>
      <rPr>
        <b/>
        <vertAlign val="subscript"/>
        <sz val="12"/>
        <color theme="1"/>
        <rFont val="Times New Roman"/>
        <family val="1"/>
      </rPr>
      <t>∆T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</si>
  <si>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</si>
  <si>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</si>
  <si>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</si>
  <si>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Y</t>
    </r>
    <r>
      <rPr>
        <b/>
        <vertAlign val="subscript"/>
        <sz val="12"/>
        <rFont val="Times New Roman"/>
        <family val="1"/>
      </rPr>
      <t>T</t>
    </r>
  </si>
  <si>
    <r>
      <t>e</t>
    </r>
    <r>
      <rPr>
        <b/>
        <vertAlign val="subscript"/>
        <sz val="12"/>
        <color theme="1"/>
        <rFont val="Times New Roman"/>
        <family val="1"/>
      </rPr>
      <t>∆E</t>
    </r>
  </si>
  <si>
    <r>
      <t>e</t>
    </r>
    <r>
      <rPr>
        <b/>
        <vertAlign val="subscript"/>
        <sz val="12"/>
        <color theme="1"/>
        <rFont val="Times New Roman"/>
        <family val="1"/>
      </rPr>
      <t>mid-height</t>
    </r>
  </si>
  <si>
    <r>
      <t>e</t>
    </r>
    <r>
      <rPr>
        <b/>
        <vertAlign val="subscript"/>
        <sz val="12"/>
        <color theme="1"/>
        <rFont val="Times New Roman"/>
        <family val="1"/>
      </rPr>
      <t>support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</si>
  <si>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lip</t>
    </r>
  </si>
  <si>
    <r>
      <t>Nmm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</si>
  <si>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</si>
  <si>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Lip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</si>
  <si>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</si>
  <si>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web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Web</t>
    </r>
  </si>
  <si>
    <r>
      <t>Σ(E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</si>
  <si>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theme="1"/>
        <rFont val="Times New Roman"/>
        <family val="1"/>
      </rPr>
      <t>se,T</t>
    </r>
  </si>
  <si>
    <r>
      <t>N</t>
    </r>
    <r>
      <rPr>
        <b/>
        <vertAlign val="subscript"/>
        <sz val="12"/>
        <color theme="1"/>
        <rFont val="Times New Roman"/>
        <family val="1"/>
      </rPr>
      <t>cr,T</t>
    </r>
  </si>
  <si>
    <r>
      <t>N</t>
    </r>
    <r>
      <rPr>
        <b/>
        <vertAlign val="subscript"/>
        <sz val="12"/>
        <color theme="1"/>
        <rFont val="Times New Roman"/>
        <family val="1"/>
      </rPr>
      <t>ol,T</t>
    </r>
  </si>
  <si>
    <r>
      <t>λ</t>
    </r>
    <r>
      <rPr>
        <b/>
        <vertAlign val="subscript"/>
        <sz val="12"/>
        <color theme="1"/>
        <rFont val="Times New Roman"/>
        <family val="1"/>
      </rPr>
      <t>c</t>
    </r>
  </si>
  <si>
    <r>
      <t>N</t>
    </r>
    <r>
      <rPr>
        <b/>
        <vertAlign val="subscript"/>
        <sz val="12"/>
        <color theme="1"/>
        <rFont val="Times New Roman"/>
        <family val="1"/>
      </rPr>
      <t>ce,T</t>
    </r>
  </si>
  <si>
    <r>
      <t>λ</t>
    </r>
    <r>
      <rPr>
        <b/>
        <vertAlign val="subscript"/>
        <sz val="12"/>
        <color theme="1"/>
        <rFont val="Times New Roman"/>
        <family val="1"/>
      </rPr>
      <t>l</t>
    </r>
  </si>
  <si>
    <r>
      <t>N</t>
    </r>
    <r>
      <rPr>
        <b/>
        <vertAlign val="subscript"/>
        <sz val="12"/>
        <color theme="1"/>
        <rFont val="Times New Roman"/>
        <family val="1"/>
      </rPr>
      <t>cl,T</t>
    </r>
  </si>
  <si>
    <r>
      <t>Z</t>
    </r>
    <r>
      <rPr>
        <b/>
        <vertAlign val="subscript"/>
        <sz val="12"/>
        <color theme="1"/>
        <rFont val="Times New Roman"/>
        <family val="1"/>
      </rPr>
      <t>x,T</t>
    </r>
  </si>
  <si>
    <r>
      <t>M</t>
    </r>
    <r>
      <rPr>
        <b/>
        <vertAlign val="subscript"/>
        <sz val="12"/>
        <color theme="1"/>
        <rFont val="Times New Roman"/>
        <family val="1"/>
      </rPr>
      <t>ce,mid,T</t>
    </r>
  </si>
  <si>
    <r>
      <t>M</t>
    </r>
    <r>
      <rPr>
        <b/>
        <vertAlign val="subscript"/>
        <sz val="12"/>
        <color theme="1"/>
        <rFont val="Times New Roman"/>
        <family val="1"/>
      </rPr>
      <t>0l,T</t>
    </r>
  </si>
  <si>
    <r>
      <t>M</t>
    </r>
    <r>
      <rPr>
        <b/>
        <vertAlign val="subscript"/>
        <sz val="12"/>
        <color theme="1"/>
        <rFont val="Times New Roman"/>
        <family val="1"/>
      </rPr>
      <t>x,mid,T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</si>
  <si>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mid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x,mid,T</t>
    </r>
    <r>
      <rPr>
        <b/>
        <sz val="12"/>
        <color theme="1"/>
        <rFont val="Times New Roman"/>
        <family val="1"/>
      </rPr>
      <t>=1</t>
    </r>
  </si>
  <si>
    <r>
      <t>M</t>
    </r>
    <r>
      <rPr>
        <b/>
        <vertAlign val="subscript"/>
        <sz val="12"/>
        <color theme="1"/>
        <rFont val="Times New Roman"/>
        <family val="1"/>
      </rPr>
      <t>ce,sup,T</t>
    </r>
  </si>
  <si>
    <r>
      <t>M</t>
    </r>
    <r>
      <rPr>
        <b/>
        <vertAlign val="subscript"/>
        <sz val="12"/>
        <color theme="1"/>
        <rFont val="Times New Roman"/>
        <family val="1"/>
      </rPr>
      <t>x,sup,T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</si>
  <si>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sup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x,sup,T</t>
    </r>
    <r>
      <rPr>
        <b/>
        <sz val="12"/>
        <color theme="1"/>
        <rFont val="Times New Roman"/>
        <family val="1"/>
      </rPr>
      <t>=1</t>
    </r>
  </si>
  <si>
    <t>Local buckling moment factor at ambient temperature</t>
  </si>
  <si>
    <r>
      <t>A</t>
    </r>
    <r>
      <rPr>
        <b/>
        <vertAlign val="subscript"/>
        <sz val="12"/>
        <color theme="1"/>
        <rFont val="Times New Roman"/>
        <family val="1"/>
      </rPr>
      <t>T</t>
    </r>
  </si>
  <si>
    <r>
      <t>Y</t>
    </r>
    <r>
      <rPr>
        <b/>
        <vertAlign val="subscript"/>
        <sz val="12"/>
        <color theme="1"/>
        <rFont val="Times New Roman"/>
        <family val="1"/>
      </rPr>
      <t>T</t>
    </r>
  </si>
  <si>
    <t>3. Load Factors from Elastic buckling Analysis - Compression Member</t>
  </si>
  <si>
    <t>Screw Spacing</t>
  </si>
  <si>
    <r>
      <t>L</t>
    </r>
    <r>
      <rPr>
        <b/>
        <vertAlign val="subscript"/>
        <sz val="12"/>
        <color theme="1"/>
        <rFont val="Times New Roman"/>
        <family val="1"/>
      </rPr>
      <t>y</t>
    </r>
  </si>
  <si>
    <r>
      <t>L</t>
    </r>
    <r>
      <rPr>
        <b/>
        <vertAlign val="subscript"/>
        <sz val="12"/>
        <color theme="1"/>
        <rFont val="Times New Roman"/>
        <family val="1"/>
      </rPr>
      <t>x</t>
    </r>
  </si>
  <si>
    <t>Critical Stress</t>
  </si>
  <si>
    <t>4. Section Properties</t>
  </si>
  <si>
    <r>
      <t>I</t>
    </r>
    <r>
      <rPr>
        <b/>
        <vertAlign val="subscript"/>
        <sz val="12"/>
        <color theme="1"/>
        <rFont val="Times New Roman"/>
        <family val="1"/>
      </rPr>
      <t>yy</t>
    </r>
  </si>
  <si>
    <t>Second Moment of Area about Major Axis (y-axis)</t>
  </si>
  <si>
    <t xml:space="preserve">Elastic flexural buckling stress about the major axis </t>
  </si>
  <si>
    <t xml:space="preserve">Elastic flexural buckling stress about the minor axis </t>
  </si>
  <si>
    <t>Elastic flexural buckling stress</t>
  </si>
  <si>
    <t xml:space="preserve">Elastic flexural buckling load </t>
  </si>
  <si>
    <t>N</t>
  </si>
  <si>
    <t>Nominal yeild load</t>
  </si>
  <si>
    <t>Elastic Local buckling load</t>
  </si>
  <si>
    <r>
      <t>N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</si>
  <si>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</si>
  <si>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</si>
  <si>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oy,20</t>
    </r>
  </si>
  <si>
    <r>
      <t>f</t>
    </r>
    <r>
      <rPr>
        <b/>
        <vertAlign val="subscript"/>
        <sz val="12"/>
        <rFont val="Times New Roman"/>
        <family val="1"/>
      </rPr>
      <t>ox,20</t>
    </r>
  </si>
  <si>
    <r>
      <t>Local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</si>
  <si>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Radius of gyration about major axis</t>
  </si>
  <si>
    <t>Radius of gyration about minor axis</t>
  </si>
  <si>
    <t>Mpa</t>
  </si>
  <si>
    <r>
      <t>Distortional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</si>
  <si>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 xml:space="preserve">DIRECT STRENGTH METHOD (DSM) </t>
    </r>
    <r>
      <rPr>
        <b/>
        <sz val="12"/>
        <color theme="1"/>
        <rFont val="Times New Roman"/>
        <family val="1"/>
      </rPr>
      <t>- AS4600 (SA, 2005)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</si>
  <si>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</si>
  <si>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</si>
  <si>
    <r>
      <t>N</t>
    </r>
    <r>
      <rPr>
        <b/>
        <vertAlign val="subscript"/>
        <sz val="12"/>
        <color theme="1"/>
        <rFont val="Times New Roman"/>
        <family val="1"/>
      </rPr>
      <t>od,20</t>
    </r>
  </si>
  <si>
    <r>
      <t>λ</t>
    </r>
    <r>
      <rPr>
        <b/>
        <vertAlign val="subscript"/>
        <sz val="12"/>
        <color theme="1"/>
        <rFont val="Times New Roman"/>
        <family val="1"/>
      </rPr>
      <t>d</t>
    </r>
  </si>
  <si>
    <t>Elastic distortional buckling load</t>
  </si>
  <si>
    <r>
      <t>2.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</si>
  <si>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r>
      <t>5. Flexural Buckling Capacity (N</t>
    </r>
    <r>
      <rPr>
        <b/>
        <u/>
        <vertAlign val="subscript"/>
        <sz val="12"/>
        <color theme="1"/>
        <rFont val="Times New Roman"/>
        <family val="1"/>
      </rPr>
      <t>ce</t>
    </r>
    <r>
      <rPr>
        <b/>
        <u/>
        <sz val="12"/>
        <color theme="1"/>
        <rFont val="Times New Roman"/>
        <family val="1"/>
      </rPr>
      <t>)</t>
    </r>
  </si>
  <si>
    <r>
      <t>6. Local Buckling Capacity (N</t>
    </r>
    <r>
      <rPr>
        <b/>
        <u/>
        <vertAlign val="subscript"/>
        <sz val="12"/>
        <color theme="1"/>
        <rFont val="Times New Roman"/>
        <family val="1"/>
      </rPr>
      <t>cl</t>
    </r>
    <r>
      <rPr>
        <b/>
        <u/>
        <sz val="12"/>
        <color theme="1"/>
        <rFont val="Times New Roman"/>
        <family val="1"/>
      </rPr>
      <t>)</t>
    </r>
  </si>
  <si>
    <r>
      <t>7. Distortional Buckling Capacity (N</t>
    </r>
    <r>
      <rPr>
        <b/>
        <u/>
        <vertAlign val="subscript"/>
        <sz val="12"/>
        <color theme="1"/>
        <rFont val="Times New Roman"/>
        <family val="1"/>
      </rPr>
      <t>cd</t>
    </r>
    <r>
      <rPr>
        <b/>
        <u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</si>
  <si>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rgb="FFC00000"/>
        <rFont val="Times New Roman"/>
        <family val="1"/>
      </rPr>
      <t>ce,20</t>
    </r>
  </si>
  <si>
    <r>
      <t>N</t>
    </r>
    <r>
      <rPr>
        <b/>
        <vertAlign val="subscript"/>
        <sz val="12"/>
        <color rgb="FFC00000"/>
        <rFont val="Times New Roman"/>
        <family val="1"/>
      </rPr>
      <t>cl,20</t>
    </r>
  </si>
  <si>
    <r>
      <t>N</t>
    </r>
    <r>
      <rPr>
        <b/>
        <vertAlign val="subscript"/>
        <sz val="12"/>
        <color rgb="FFC00000"/>
        <rFont val="Times New Roman"/>
        <family val="1"/>
      </rPr>
      <t>cd,20</t>
    </r>
  </si>
  <si>
    <t>Elastic Modulus at elevated temperature</t>
  </si>
  <si>
    <t>Yield Stregnth at elevated temperature</t>
  </si>
  <si>
    <t>Section Modulus at ambient temperature</t>
  </si>
  <si>
    <t>Stud mid-web temperature</t>
  </si>
  <si>
    <t>4. Section properties/stud mid-web temperature</t>
  </si>
  <si>
    <r>
      <t>5. Critical Buckling loads/moment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</si>
  <si>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Nominal Member Compression Capacity</t>
  </si>
  <si>
    <t>Ultimate Capacity of the Stud at Ambient Temperature (Nominal Value)</t>
  </si>
  <si>
    <t>Ultimate Capacity at Support</t>
  </si>
  <si>
    <t>Ultimate Capacity at Mid-height</t>
  </si>
  <si>
    <t>6. Mechanical Properties at Elevated temperature</t>
  </si>
  <si>
    <t>7. Thermal Bowing and Neutral Axis Shift</t>
  </si>
  <si>
    <t>7.1. Thermal Bowing</t>
  </si>
  <si>
    <t>7.2. Neutral Axis Shift</t>
  </si>
  <si>
    <t>8. Element stiffness about major axis (x-axis)</t>
  </si>
  <si>
    <t>9. Column capacity at elevated temperature</t>
  </si>
  <si>
    <t>9.1 Critical buckling loads</t>
  </si>
  <si>
    <t>9.3. Local buckling capacity</t>
  </si>
  <si>
    <t>9.2 Flexural buckling capacity</t>
  </si>
  <si>
    <t>10. Section Moment capacity at elevated temperature (based on mid-web temperature)</t>
  </si>
  <si>
    <t>10.1.At mid-height</t>
  </si>
  <si>
    <t>10.2. At Support</t>
  </si>
  <si>
    <t>3. Load/Moment Factors from Elastic Buckling Analysis</t>
  </si>
  <si>
    <t>Stud Web Depth (Centreline Dimension)</t>
  </si>
  <si>
    <t>Stud Flange Width (Centreline Dimension)</t>
  </si>
  <si>
    <t>Stud Lip length (Centreline Dimension)</t>
  </si>
  <si>
    <r>
      <t>3.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</si>
  <si>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4. Load/Moment Factors from Elastic Buckling Analysis</t>
  </si>
  <si>
    <t>Time</t>
  </si>
  <si>
    <t>Time (min)</t>
  </si>
  <si>
    <t>Stud Temperatures</t>
  </si>
  <si>
    <t>Load Ratio</t>
  </si>
  <si>
    <t>min</t>
  </si>
  <si>
    <t>Ref: DSM Ambient</t>
  </si>
  <si>
    <t>Ref: Sheet 1</t>
  </si>
  <si>
    <t>Ref: Sheet 2</t>
  </si>
  <si>
    <t>Ref: Sheet 3</t>
  </si>
  <si>
    <t>Ref: Sheet 4</t>
  </si>
  <si>
    <t>Ref: Sheet 5</t>
  </si>
  <si>
    <t>Ref: Sheet 6</t>
  </si>
  <si>
    <t>Ref: Sheet 7</t>
  </si>
  <si>
    <t>Ref: Sheet 8</t>
  </si>
  <si>
    <t>Ref: Sheet 9</t>
  </si>
  <si>
    <t>Ref: Sheet 10</t>
  </si>
  <si>
    <t>NOTES:</t>
  </si>
  <si>
    <r>
      <t>mm</t>
    </r>
    <r>
      <rPr>
        <b/>
        <vertAlign val="superscript"/>
        <sz val="12"/>
        <color theme="1"/>
        <rFont val="Times New Roman"/>
        <family val="1"/>
      </rPr>
      <t>2</t>
    </r>
  </si>
  <si>
    <r>
      <t>mm</t>
    </r>
    <r>
      <rPr>
        <b/>
        <vertAlign val="superscript"/>
        <sz val="12"/>
        <color theme="1"/>
        <rFont val="Times New Roman"/>
        <family val="1"/>
      </rPr>
      <t>4</t>
    </r>
  </si>
  <si>
    <t>Ultimate Axial Compression Capacity of the Stud (kN)</t>
  </si>
  <si>
    <r>
      <t>1. Stud axial compression capacity at ambient temperature (20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C) </t>
    </r>
  </si>
  <si>
    <t>-</t>
  </si>
  <si>
    <t>Input parameters</t>
  </si>
  <si>
    <t xml:space="preserve">Output </t>
  </si>
  <si>
    <t>Distortional buckling capacity</t>
  </si>
  <si>
    <t>Ultimate Capacity of the Stud at Ambient Temperature (Nominal Value) - Flexural and Local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</si>
</sst>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E+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3" fillId="2" borderId="0" xfId="0" applyFont="1" applyFill="1"/>
    <xf numFmtId="2" fontId="3" fillId="0" borderId="0" xfId="0" applyNumberFormat="1" applyFont="1"/>
    <xf numFmtId="2" fontId="6" fillId="0" borderId="0" xfId="0" applyNumberFormat="1" applyFont="1"/>
    <xf numFmtId="3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/>
    <xf numFmtId="11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2" fontId="7" fillId="0" borderId="0" xfId="0" applyNumberFormat="1" applyFont="1"/>
    <xf numFmtId="165" fontId="3" fillId="0" borderId="0" xfId="0" applyNumberFormat="1" applyFont="1"/>
    <xf numFmtId="2" fontId="2" fillId="4" borderId="0" xfId="0" applyNumberFormat="1" applyFont="1" applyFill="1"/>
    <xf numFmtId="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/>
    <xf numFmtId="3" fontId="3" fillId="2" borderId="0" xfId="0" applyNumberFormat="1" applyFont="1" applyFill="1"/>
    <xf numFmtId="3" fontId="6" fillId="0" borderId="0" xfId="0" applyNumberFormat="1" applyFont="1"/>
    <xf numFmtId="165" fontId="3" fillId="2" borderId="0" xfId="0" applyNumberFormat="1" applyFont="1" applyFill="1"/>
    <xf numFmtId="0" fontId="9" fillId="4" borderId="0" xfId="0" applyFont="1" applyFill="1" applyAlignment="1">
      <alignment horizontal="left" vertical="center"/>
    </xf>
    <xf numFmtId="0" fontId="14" fillId="4" borderId="0" xfId="0" applyFont="1" applyFill="1"/>
    <xf numFmtId="3" fontId="14" fillId="4" borderId="0" xfId="0" applyNumberFormat="1" applyFont="1" applyFill="1"/>
    <xf numFmtId="2" fontId="9" fillId="4" borderId="0" xfId="0" applyNumberFormat="1" applyFont="1" applyFill="1" applyAlignment="1">
      <alignment horizontal="right" vertical="center"/>
    </xf>
    <xf numFmtId="4" fontId="9" fillId="4" borderId="0" xfId="0" applyNumberFormat="1" applyFont="1" applyFill="1" applyAlignment="1">
      <alignment horizontal="left" vertical="center"/>
    </xf>
    <xf numFmtId="2" fontId="14" fillId="4" borderId="0" xfId="0" applyNumberFormat="1" applyFont="1" applyFill="1"/>
    <xf numFmtId="2" fontId="13" fillId="4" borderId="0" xfId="0" applyNumberFormat="1" applyFont="1" applyFill="1"/>
    <xf numFmtId="4" fontId="9" fillId="4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3" fontId="2" fillId="2" borderId="1" xfId="0" applyNumberFormat="1" applyFont="1" applyFill="1" applyBorder="1" applyAlignment="1">
      <alignment horizontal="center"/>
    </xf>
    <xf numFmtId="0" fontId="20" fillId="6" borderId="0" xfId="0" applyFont="1" applyFill="1"/>
    <xf numFmtId="3" fontId="20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/>
    <xf numFmtId="0" fontId="2" fillId="0" borderId="1" xfId="0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2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0" fillId="0" borderId="0" xfId="0" applyNumberFormat="1"/>
    <xf numFmtId="0" fontId="21" fillId="8" borderId="0" xfId="0" applyFont="1" applyFill="1"/>
    <xf numFmtId="0" fontId="1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248380885699"/>
          <c:y val="0.10208987123923709"/>
          <c:w val="0.7446150383836363"/>
          <c:h val="0.69722459457459662"/>
        </c:manualLayout>
      </c:layout>
      <c:scatterChart>
        <c:scatterStyle val="lineMarker"/>
        <c:varyColors val="0"/>
        <c:ser>
          <c:idx val="1"/>
          <c:order val="0"/>
          <c:tx>
            <c:v>DSM - Draft AS/NZS 4600 (2017)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'Input-Output Screen'!$F$6:$F$16</c:f>
              <c:numCache>
                <c:formatCode>#,##0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85</c:v>
                </c:pt>
                <c:pt idx="4">
                  <c:v>110</c:v>
                </c:pt>
                <c:pt idx="5">
                  <c:v>150</c:v>
                </c:pt>
                <c:pt idx="6">
                  <c:v>170</c:v>
                </c:pt>
                <c:pt idx="7">
                  <c:v>174</c:v>
                </c:pt>
                <c:pt idx="8">
                  <c:v>180</c:v>
                </c:pt>
              </c:numCache>
            </c:numRef>
          </c:xVal>
          <c:yVal>
            <c:numRef>
              <c:f>'Input-Output Screen'!$J$6:$J$16</c:f>
              <c:numCache>
                <c:formatCode>0.000</c:formatCode>
                <c:ptCount val="11"/>
                <c:pt idx="0">
                  <c:v>1</c:v>
                </c:pt>
                <c:pt idx="1">
                  <c:v>0.75562034045340087</c:v>
                </c:pt>
                <c:pt idx="2">
                  <c:v>0.66532364950637046</c:v>
                </c:pt>
                <c:pt idx="3">
                  <c:v>0.51389976611811672</c:v>
                </c:pt>
                <c:pt idx="4">
                  <c:v>0.48020426284612844</c:v>
                </c:pt>
                <c:pt idx="5">
                  <c:v>0.46526021023400527</c:v>
                </c:pt>
                <c:pt idx="6">
                  <c:v>0.4324508303395313</c:v>
                </c:pt>
                <c:pt idx="7">
                  <c:v>0.39870274827550756</c:v>
                </c:pt>
                <c:pt idx="8">
                  <c:v>0.3525638371235516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1-4266-8DC4-DEC613D9BDAA}"/>
            </c:ext>
          </c:extLst>
        </c:ser>
        <c:ser>
          <c:idx val="0"/>
          <c:order val="1"/>
          <c:tx>
            <c:v>Experiment</c:v>
          </c:tx>
          <c:xVal>
            <c:numRef>
              <c:f>'Input-Output Screen'!$R$22:$R$23</c:f>
              <c:numCache>
                <c:formatCode>General</c:formatCode>
                <c:ptCount val="2"/>
                <c:pt idx="0">
                  <c:v>0</c:v>
                </c:pt>
                <c:pt idx="1">
                  <c:v>176</c:v>
                </c:pt>
              </c:numCache>
            </c:numRef>
          </c:xVal>
          <c:yVal>
            <c:numRef>
              <c:f>'Input-Output Screen'!$S$22:$S$23</c:f>
              <c:numCache>
                <c:formatCode>General</c:formatCode>
                <c:ptCount val="2"/>
                <c:pt idx="0">
                  <c:v>0.434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011-B8AA-66FEDB8A5B3D}"/>
            </c:ext>
          </c:extLst>
        </c:ser>
        <c:ser>
          <c:idx val="2"/>
          <c:order val="2"/>
          <c:xVal>
            <c:numRef>
              <c:f>'Input-Output Screen'!$R$25:$R$26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xVal>
          <c:yVal>
            <c:numRef>
              <c:f>'Input-Output Screen'!$S$25:$S$26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93-8072-E2E1BB75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9856"/>
        <c:axId val="150172416"/>
      </c:scatterChart>
      <c:valAx>
        <c:axId val="150169856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Time (min)</a:t>
                </a:r>
              </a:p>
            </c:rich>
          </c:tx>
          <c:layout>
            <c:manualLayout>
              <c:xMode val="edge"/>
              <c:yMode val="edge"/>
              <c:x val="0.76923932884899116"/>
              <c:y val="0.862620494546910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0172416"/>
        <c:crosses val="autoZero"/>
        <c:crossBetween val="midCat"/>
        <c:majorUnit val="10"/>
      </c:valAx>
      <c:valAx>
        <c:axId val="150172416"/>
        <c:scaling>
          <c:orientation val="minMax"/>
          <c:max val="1.2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Load Ratio</a:t>
                </a:r>
              </a:p>
            </c:rich>
          </c:tx>
          <c:layout>
            <c:manualLayout>
              <c:xMode val="edge"/>
              <c:yMode val="edge"/>
              <c:x val="3.9615319696931814E-2"/>
              <c:y val="0.323941335331574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0169856"/>
        <c:crosses val="autoZero"/>
        <c:crossBetween val="midCat"/>
        <c:majorUnit val="0.1"/>
        <c:minorUnit val="0.1"/>
      </c:valAx>
    </c:plotArea>
    <c:legend>
      <c:legendPos val="b"/>
      <c:layout>
        <c:manualLayout>
          <c:xMode val="edge"/>
          <c:yMode val="edge"/>
          <c:x val="0.1623099512865368"/>
          <c:y val="0.88684739409367452"/>
          <c:w val="0.82657249661974075"/>
          <c:h val="5.387433757339505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40000"/>
            <a:lumOff val="60000"/>
          </a:schemeClr>
        </a:gs>
        <a:gs pos="100000">
          <a:schemeClr val="accent2">
            <a:lumMod val="75000"/>
          </a:schemeClr>
        </a:gs>
      </a:gsLst>
      <a:lin ang="5400000" scaled="1"/>
    </a:gra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39971" y="4045323"/>
    <xdr:ext cx="6286500" cy="45159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S30"/>
  <sheetViews>
    <sheetView topLeftCell="A10" zoomScale="85" zoomScaleNormal="85" workbookViewId="0">
      <selection activeCell="C21" sqref="C21"/>
    </sheetView>
  </sheetViews>
  <sheetFormatPr defaultRowHeight="15" x14ac:dyDescent="0.25"/>
  <cols>
    <col min="1" max="1" width="63.42578125" customWidth="1"/>
    <col min="2" max="2" width="4.7109375" bestFit="1" customWidth="1"/>
    <col min="3" max="3" width="11.28515625" bestFit="1" customWidth="1"/>
    <col min="4" max="4" width="6.42578125" customWidth="1"/>
    <col min="5" max="5" width="4.85546875" customWidth="1"/>
    <col min="6" max="6" width="13" customWidth="1"/>
    <col min="7" max="7" width="11" customWidth="1"/>
    <col min="8" max="8" width="10.85546875" customWidth="1"/>
    <col min="9" max="9" width="30.28515625" customWidth="1"/>
    <col min="10" max="10" width="10.5703125" customWidth="1"/>
    <col min="11" max="11" width="18.7109375" customWidth="1"/>
    <col min="12" max="12" width="5.42578125" customWidth="1"/>
    <col min="13" max="13" width="3.42578125" customWidth="1"/>
    <col min="15" max="15" width="3.5703125" customWidth="1"/>
  </cols>
  <sheetData>
    <row r="1" spans="1:19" ht="21" customHeight="1" x14ac:dyDescent="0.25">
      <c r="A1" s="1" t="s">
        <v>47</v>
      </c>
      <c r="B1" s="2"/>
      <c r="C1" s="3"/>
      <c r="D1" s="3"/>
      <c r="E1" s="3"/>
    </row>
    <row r="2" spans="1:19" ht="21" customHeight="1" x14ac:dyDescent="0.25">
      <c r="A2" s="2" t="s">
        <v>0</v>
      </c>
      <c r="B2" s="2"/>
      <c r="C2" s="3"/>
      <c r="D2" s="3"/>
      <c r="E2" s="3"/>
    </row>
    <row r="3" spans="1:19" ht="15.75" x14ac:dyDescent="0.25">
      <c r="A3" s="3"/>
      <c r="B3" s="2"/>
      <c r="C3" s="3"/>
      <c r="D3" s="3"/>
      <c r="E3" s="3"/>
      <c r="F3" s="57" t="s">
        <v>173</v>
      </c>
      <c r="G3" s="57" t="s">
        <v>174</v>
      </c>
      <c r="H3" s="57"/>
      <c r="I3" s="58" t="s">
        <v>191</v>
      </c>
      <c r="J3" s="58" t="s">
        <v>175</v>
      </c>
      <c r="M3" s="59" t="s">
        <v>188</v>
      </c>
      <c r="N3" s="59"/>
      <c r="O3" s="59"/>
      <c r="P3" s="59"/>
      <c r="Q3" s="59"/>
      <c r="R3" s="59"/>
      <c r="S3" s="59"/>
    </row>
    <row r="4" spans="1:19" ht="15.75" x14ac:dyDescent="0.25">
      <c r="A4" s="21" t="s">
        <v>24</v>
      </c>
      <c r="B4" s="4"/>
      <c r="C4" s="5"/>
      <c r="D4" s="5"/>
      <c r="E4" s="3"/>
      <c r="F4" s="57"/>
      <c r="G4" s="57"/>
      <c r="H4" s="57"/>
      <c r="I4" s="58"/>
      <c r="J4" s="58"/>
      <c r="M4" s="59"/>
      <c r="N4" s="59"/>
      <c r="O4" s="59"/>
      <c r="P4" s="59"/>
      <c r="Q4" s="59"/>
      <c r="R4" s="59"/>
      <c r="S4" s="59"/>
    </row>
    <row r="5" spans="1:19" ht="15.75" x14ac:dyDescent="0.25">
      <c r="A5" s="5" t="s">
        <v>167</v>
      </c>
      <c r="B5" s="4" t="s">
        <v>1</v>
      </c>
      <c r="C5" s="38">
        <v>89.05</v>
      </c>
      <c r="D5" s="4" t="s">
        <v>2</v>
      </c>
      <c r="E5" s="3"/>
      <c r="F5" s="57"/>
      <c r="G5" s="47" t="s">
        <v>12</v>
      </c>
      <c r="H5" s="47" t="s">
        <v>15</v>
      </c>
      <c r="I5" s="58"/>
      <c r="J5" s="58"/>
      <c r="M5" s="59"/>
      <c r="N5" s="59"/>
      <c r="O5" s="59"/>
      <c r="P5" s="59"/>
      <c r="Q5" s="59"/>
      <c r="R5" s="59"/>
      <c r="S5" s="59"/>
    </row>
    <row r="6" spans="1:19" ht="18.75" customHeight="1" x14ac:dyDescent="0.25">
      <c r="A6" s="5" t="s">
        <v>168</v>
      </c>
      <c r="B6" s="4" t="s">
        <v>3</v>
      </c>
      <c r="C6" s="38">
        <v>36</v>
      </c>
      <c r="D6" s="4" t="s">
        <v>2</v>
      </c>
      <c r="E6" s="3"/>
      <c r="F6" s="48">
        <v>0</v>
      </c>
      <c r="G6" s="48">
        <v>20</v>
      </c>
      <c r="H6" s="48">
        <v>20</v>
      </c>
      <c r="I6" s="33">
        <f>IF(G6&lt;=0,C27,'DSM-AS4600 (SA, 2005)-Ambient'!C50)</f>
        <v>28.425793841874054</v>
      </c>
      <c r="J6" s="34">
        <f>I6/$I$6</f>
        <v>1</v>
      </c>
      <c r="K6" s="45" t="s">
        <v>177</v>
      </c>
      <c r="L6" s="45"/>
      <c r="M6" s="56" t="s">
        <v>192</v>
      </c>
      <c r="N6" s="56"/>
      <c r="O6" s="56"/>
      <c r="P6" s="56"/>
      <c r="Q6" s="56"/>
      <c r="R6" s="56"/>
      <c r="S6" s="56"/>
    </row>
    <row r="7" spans="1:19" ht="18.75" customHeight="1" x14ac:dyDescent="0.25">
      <c r="A7" s="5" t="s">
        <v>169</v>
      </c>
      <c r="B7" s="4" t="s">
        <v>4</v>
      </c>
      <c r="C7" s="38">
        <v>6.5250000000000004</v>
      </c>
      <c r="D7" s="4" t="s">
        <v>2</v>
      </c>
      <c r="E7" s="3"/>
      <c r="F7" s="41">
        <v>30</v>
      </c>
      <c r="G7" s="41">
        <v>84.680167999999995</v>
      </c>
      <c r="H7" s="41">
        <v>62.937088000000003</v>
      </c>
      <c r="I7" s="35">
        <f>IF(G7&lt;=0,C27,'DSM -Temp (Sheet 1) '!C152)</f>
        <v>21.479108020455058</v>
      </c>
      <c r="J7" s="36">
        <f>I7/$I$6</f>
        <v>0.75562034045340087</v>
      </c>
      <c r="K7" s="45" t="s">
        <v>178</v>
      </c>
      <c r="L7" s="45"/>
      <c r="M7" s="49">
        <v>2</v>
      </c>
      <c r="N7" s="41"/>
      <c r="O7" t="s">
        <v>193</v>
      </c>
      <c r="P7" s="56" t="s">
        <v>194</v>
      </c>
      <c r="Q7" s="56"/>
      <c r="R7" s="56"/>
      <c r="S7" s="56"/>
    </row>
    <row r="8" spans="1:19" ht="18.75" customHeight="1" x14ac:dyDescent="0.25">
      <c r="A8" s="5" t="s">
        <v>27</v>
      </c>
      <c r="B8" s="4" t="s">
        <v>5</v>
      </c>
      <c r="C8" s="38">
        <v>0.95</v>
      </c>
      <c r="D8" s="4" t="s">
        <v>2</v>
      </c>
      <c r="E8" s="3"/>
      <c r="F8" s="41">
        <v>60</v>
      </c>
      <c r="G8" s="41">
        <v>147.55038500000001</v>
      </c>
      <c r="H8" s="41">
        <v>86.789742000000004</v>
      </c>
      <c r="I8" s="35">
        <f>IF(G8&lt;=0,C28,'DSM -Temp (Sheet 2)'!C152)</f>
        <v>18.912352898991358</v>
      </c>
      <c r="J8" s="36">
        <f>I8/$I$6</f>
        <v>0.66532364950637046</v>
      </c>
      <c r="K8" s="45" t="s">
        <v>179</v>
      </c>
      <c r="L8" s="45"/>
      <c r="M8" s="49">
        <v>3</v>
      </c>
      <c r="N8" s="35"/>
      <c r="O8" t="s">
        <v>193</v>
      </c>
      <c r="P8" s="56" t="s">
        <v>195</v>
      </c>
      <c r="Q8" s="56"/>
      <c r="R8" s="56"/>
      <c r="S8" s="56"/>
    </row>
    <row r="9" spans="1:19" ht="18.75" customHeight="1" x14ac:dyDescent="0.3">
      <c r="A9" s="5" t="s">
        <v>28</v>
      </c>
      <c r="B9" s="4" t="s">
        <v>109</v>
      </c>
      <c r="C9" s="38">
        <v>3000</v>
      </c>
      <c r="D9" s="4" t="s">
        <v>2</v>
      </c>
      <c r="E9" s="3"/>
      <c r="F9" s="41">
        <v>85</v>
      </c>
      <c r="G9" s="41">
        <v>317.86630200000002</v>
      </c>
      <c r="H9" s="41">
        <v>232.71762100000001</v>
      </c>
      <c r="I9" s="35">
        <f>IF(G9&lt;=0,C29,'DSM -Temp (Sheet 3)'!C152)</f>
        <v>14.60800880706088</v>
      </c>
      <c r="J9" s="36">
        <f t="shared" ref="J9:J16" si="0">I9/$I$6</f>
        <v>0.51389976611811672</v>
      </c>
      <c r="K9" s="45" t="s">
        <v>180</v>
      </c>
      <c r="L9" s="45"/>
      <c r="M9" s="46"/>
    </row>
    <row r="10" spans="1:19" ht="18.75" customHeight="1" x14ac:dyDescent="0.3">
      <c r="A10" s="5" t="s">
        <v>107</v>
      </c>
      <c r="B10" s="4" t="s">
        <v>108</v>
      </c>
      <c r="C10" s="38">
        <v>1000</v>
      </c>
      <c r="D10" s="4" t="s">
        <v>2</v>
      </c>
      <c r="E10" s="3"/>
      <c r="F10" s="41">
        <v>110</v>
      </c>
      <c r="G10" s="41">
        <v>360.11895800000002</v>
      </c>
      <c r="H10" s="41">
        <v>269.85098299999999</v>
      </c>
      <c r="I10" s="35">
        <f>IF(G10&lt;=0,C30,'DSM -Temp (Sheet 4)'!C152)</f>
        <v>13.650187377653147</v>
      </c>
      <c r="J10" s="36">
        <f t="shared" si="0"/>
        <v>0.48020426284612844</v>
      </c>
      <c r="K10" s="45" t="s">
        <v>181</v>
      </c>
      <c r="L10" s="45"/>
      <c r="M10" s="46"/>
    </row>
    <row r="11" spans="1:19" ht="18.75" customHeight="1" x14ac:dyDescent="0.3">
      <c r="A11" s="5" t="s">
        <v>29</v>
      </c>
      <c r="B11" s="4" t="s">
        <v>48</v>
      </c>
      <c r="C11" s="38">
        <v>160.34630000000001</v>
      </c>
      <c r="D11" s="4" t="s">
        <v>189</v>
      </c>
      <c r="E11" s="3"/>
      <c r="F11" s="41">
        <v>150</v>
      </c>
      <c r="G11" s="41">
        <v>415.96163899999999</v>
      </c>
      <c r="H11" s="41">
        <v>350.82693499999999</v>
      </c>
      <c r="I11" s="35">
        <f>IF(G11&lt;=0,C31,'DSM -Temp (Sheet 5)'!C152)</f>
        <v>13.225390818938815</v>
      </c>
      <c r="J11" s="36">
        <f t="shared" si="0"/>
        <v>0.46526021023400527</v>
      </c>
      <c r="K11" s="45" t="s">
        <v>182</v>
      </c>
      <c r="L11" s="45"/>
      <c r="M11" s="46"/>
      <c r="Q11" s="54">
        <f>G9-H9</f>
        <v>85.14868100000001</v>
      </c>
    </row>
    <row r="12" spans="1:19" ht="18.75" customHeight="1" x14ac:dyDescent="0.3">
      <c r="A12" s="5" t="s">
        <v>30</v>
      </c>
      <c r="B12" s="4" t="s">
        <v>50</v>
      </c>
      <c r="C12" s="39">
        <v>202187</v>
      </c>
      <c r="D12" s="4" t="s">
        <v>190</v>
      </c>
      <c r="E12" s="3"/>
      <c r="F12" s="41">
        <v>170</v>
      </c>
      <c r="G12" s="41">
        <v>453.06225599999999</v>
      </c>
      <c r="H12" s="41">
        <v>392.67617799999999</v>
      </c>
      <c r="I12" s="35">
        <f>IF(G12&lt;=0,C32,'DSM -Temp (Sheet 6)'!C152)</f>
        <v>12.29275814997877</v>
      </c>
      <c r="J12" s="36">
        <f t="shared" si="0"/>
        <v>0.4324508303395313</v>
      </c>
      <c r="K12" s="45" t="s">
        <v>183</v>
      </c>
      <c r="L12" s="45"/>
      <c r="M12" s="46"/>
      <c r="Q12" s="54">
        <f>G10-H10</f>
        <v>90.267975000000035</v>
      </c>
    </row>
    <row r="13" spans="1:19" ht="18.75" customHeight="1" x14ac:dyDescent="0.3">
      <c r="A13" s="5" t="s">
        <v>113</v>
      </c>
      <c r="B13" s="4" t="s">
        <v>112</v>
      </c>
      <c r="C13" s="39">
        <v>26513</v>
      </c>
      <c r="D13" s="4" t="s">
        <v>190</v>
      </c>
      <c r="E13" s="3"/>
      <c r="F13" s="41">
        <v>174</v>
      </c>
      <c r="G13" s="41">
        <v>476</v>
      </c>
      <c r="H13" s="41">
        <v>405</v>
      </c>
      <c r="I13" s="35">
        <f>IF(G12&lt;=0,C32,'DSM -Temp (Sheet 7)'!C152)</f>
        <v>11.333442126668183</v>
      </c>
      <c r="J13" s="36">
        <f>I13/$I$6</f>
        <v>0.39870274827550756</v>
      </c>
      <c r="K13" s="45" t="s">
        <v>184</v>
      </c>
      <c r="L13" s="45"/>
      <c r="M13" s="46"/>
    </row>
    <row r="14" spans="1:19" ht="18.75" customHeight="1" x14ac:dyDescent="0.25">
      <c r="A14" s="5"/>
      <c r="B14" s="4"/>
      <c r="C14" s="5"/>
      <c r="D14" s="4"/>
      <c r="E14" s="3"/>
      <c r="F14" s="41">
        <v>180</v>
      </c>
      <c r="G14" s="41">
        <v>510.65557776590549</v>
      </c>
      <c r="H14" s="41">
        <v>424.61038698585736</v>
      </c>
      <c r="I14" s="35">
        <f>IF(G12&lt;=0,C32,'DSM -Temp (Sheet 8)'!C152)</f>
        <v>10.02190695017414</v>
      </c>
      <c r="J14" s="36">
        <f>I14/$I$6</f>
        <v>0.3525638371235516</v>
      </c>
      <c r="K14" s="45" t="s">
        <v>185</v>
      </c>
      <c r="L14" s="45"/>
      <c r="M14" s="46"/>
    </row>
    <row r="15" spans="1:19" ht="18.75" customHeight="1" x14ac:dyDescent="0.25">
      <c r="A15" s="21" t="s">
        <v>170</v>
      </c>
      <c r="B15" s="4"/>
      <c r="C15" s="5"/>
      <c r="D15" s="4"/>
      <c r="E15" s="3"/>
      <c r="F15" s="41"/>
      <c r="G15" s="41"/>
      <c r="H15" s="41"/>
      <c r="I15" s="35" t="str">
        <f>IF(G15&lt;=0,C27,#REF!)</f>
        <v>-</v>
      </c>
      <c r="J15" s="36" t="e">
        <f t="shared" si="0"/>
        <v>#VALUE!</v>
      </c>
      <c r="K15" s="45" t="s">
        <v>186</v>
      </c>
      <c r="L15" s="45"/>
      <c r="M15" s="46"/>
    </row>
    <row r="16" spans="1:19" ht="18.75" customHeight="1" x14ac:dyDescent="0.3">
      <c r="A16" s="5" t="s">
        <v>33</v>
      </c>
      <c r="B16" s="4" t="s">
        <v>58</v>
      </c>
      <c r="C16" s="39">
        <v>215500</v>
      </c>
      <c r="D16" s="4" t="s">
        <v>6</v>
      </c>
      <c r="E16" s="3"/>
      <c r="F16" s="41"/>
      <c r="G16" s="41"/>
      <c r="H16" s="41"/>
      <c r="I16" s="35" t="str">
        <f>IF(G16&lt;=0,C27,#REF!)</f>
        <v>-</v>
      </c>
      <c r="J16" s="36" t="e">
        <f t="shared" si="0"/>
        <v>#VALUE!</v>
      </c>
      <c r="K16" s="45" t="s">
        <v>187</v>
      </c>
      <c r="L16" s="45"/>
      <c r="M16" s="46"/>
    </row>
    <row r="17" spans="1:19" ht="18.75" customHeight="1" x14ac:dyDescent="0.3">
      <c r="A17" s="5" t="s">
        <v>34</v>
      </c>
      <c r="B17" s="4" t="s">
        <v>59</v>
      </c>
      <c r="C17" s="38">
        <v>617.5</v>
      </c>
      <c r="D17" s="4" t="s">
        <v>6</v>
      </c>
      <c r="E17" s="3"/>
    </row>
    <row r="18" spans="1:19" ht="18.75" customHeight="1" x14ac:dyDescent="0.25">
      <c r="A18" s="5"/>
      <c r="B18" s="4"/>
      <c r="C18" s="5"/>
      <c r="D18" s="5"/>
      <c r="E18" s="3"/>
    </row>
    <row r="19" spans="1:19" ht="18.75" customHeight="1" x14ac:dyDescent="0.25">
      <c r="A19" s="21" t="s">
        <v>171</v>
      </c>
      <c r="B19" s="4"/>
      <c r="C19" s="5"/>
      <c r="D19" s="5"/>
      <c r="E19" s="3"/>
    </row>
    <row r="20" spans="1:19" ht="18.75" customHeight="1" x14ac:dyDescent="0.25">
      <c r="A20" s="4" t="s">
        <v>25</v>
      </c>
      <c r="B20" s="4"/>
      <c r="C20" s="5"/>
      <c r="D20" s="5"/>
      <c r="E20" s="3"/>
    </row>
    <row r="21" spans="1:19" ht="18.75" customHeight="1" x14ac:dyDescent="0.25">
      <c r="A21" s="5" t="s">
        <v>26</v>
      </c>
      <c r="B21" s="4"/>
      <c r="C21" s="50">
        <v>0.22073999999999999</v>
      </c>
      <c r="D21" s="5"/>
      <c r="E21" s="3"/>
    </row>
    <row r="22" spans="1:19" ht="18.75" customHeight="1" x14ac:dyDescent="0.25">
      <c r="A22" s="5" t="s">
        <v>130</v>
      </c>
      <c r="B22" s="4"/>
      <c r="C22" s="50">
        <v>0.48527999999999999</v>
      </c>
      <c r="D22" s="5"/>
      <c r="E22" s="3"/>
      <c r="R22">
        <v>0</v>
      </c>
      <c r="S22">
        <v>0.434</v>
      </c>
    </row>
    <row r="23" spans="1:19" ht="18.75" customHeight="1" x14ac:dyDescent="0.25">
      <c r="A23" s="5"/>
      <c r="B23" s="4"/>
      <c r="C23" s="5"/>
      <c r="D23" s="5"/>
      <c r="E23" s="3"/>
      <c r="R23">
        <v>176</v>
      </c>
      <c r="S23">
        <v>0.434</v>
      </c>
    </row>
    <row r="24" spans="1:19" ht="18.75" customHeight="1" x14ac:dyDescent="0.25">
      <c r="A24" s="4" t="s">
        <v>35</v>
      </c>
      <c r="B24" s="4"/>
      <c r="C24" s="5"/>
      <c r="D24" s="5"/>
      <c r="E24" s="3"/>
    </row>
    <row r="25" spans="1:19" ht="18.75" customHeight="1" x14ac:dyDescent="0.25">
      <c r="A25" s="5" t="s">
        <v>103</v>
      </c>
      <c r="B25" s="4"/>
      <c r="C25" s="40">
        <v>0.43036999999999997</v>
      </c>
      <c r="D25" s="5"/>
      <c r="E25" s="3"/>
      <c r="R25">
        <v>176</v>
      </c>
      <c r="S25">
        <v>0</v>
      </c>
    </row>
    <row r="26" spans="1:19" ht="18.75" customHeight="1" x14ac:dyDescent="0.25">
      <c r="A26" s="5"/>
      <c r="B26" s="4"/>
      <c r="C26" s="4"/>
      <c r="D26" s="5"/>
      <c r="E26" s="3"/>
      <c r="R26">
        <v>176</v>
      </c>
      <c r="S26">
        <v>1</v>
      </c>
    </row>
    <row r="27" spans="1:19" x14ac:dyDescent="0.25">
      <c r="C27" s="37" t="s">
        <v>193</v>
      </c>
    </row>
    <row r="30" spans="1:19" x14ac:dyDescent="0.25">
      <c r="R30" s="55">
        <v>0.4</v>
      </c>
      <c r="S30" s="55">
        <v>174.4</v>
      </c>
    </row>
  </sheetData>
  <mergeCells count="8">
    <mergeCell ref="M6:S6"/>
    <mergeCell ref="P7:S7"/>
    <mergeCell ref="P8:S8"/>
    <mergeCell ref="F3:F5"/>
    <mergeCell ref="G3:H4"/>
    <mergeCell ref="I3:I5"/>
    <mergeCell ref="J3:J5"/>
    <mergeCell ref="M3:S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Screen'!F13</f>
        <v>174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Screen'!G13</f>
        <v>476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Screen'!H13</f>
        <v>405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440.5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102901.25000000001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123556.925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113229.08750000001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118135.93574228091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227.41602029930263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290.13382826710904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257.53775671311098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269.33636556907032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1.3107445897740785E-5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11.756959473127964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2767752.6074023442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75332535.546151951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376293850.65674996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426500421.41851014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46.503212919366234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1.9782129193662357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9.778746553761728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1.9782129193662357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1347270131.2541778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7610755651.4338312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1332812611.212276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7649706632.3779297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6367462440.8179407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24308007467.096153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43.187089674447826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26.656713053218354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11.483854359728261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1.2728395774095789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21.920879059207167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1.3816089724701963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14.965477961810748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14.965477961810748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46.503212919366234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4424.7055592088163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1139528.7438346697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634072.59804029879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1.3405812770471153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794402.59626922535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12637.430150298849</v>
      </c>
    </row>
    <row r="113" spans="1:6" x14ac:dyDescent="0.25">
      <c r="A113" s="3">
        <v>2</v>
      </c>
      <c r="B113" s="18">
        <f>D112/1000</f>
        <v>12.637430150298849</v>
      </c>
      <c r="C113" s="16">
        <f>(1-B113/$C$80)</f>
        <v>0.52591941380510565</v>
      </c>
      <c r="D113" s="11">
        <f t="shared" si="1"/>
        <v>11083.249863196292</v>
      </c>
    </row>
    <row r="114" spans="1:6" x14ac:dyDescent="0.25">
      <c r="A114" s="3">
        <v>3</v>
      </c>
      <c r="B114" s="18">
        <f>D113/1000</f>
        <v>11.083249863196292</v>
      </c>
      <c r="C114" s="16">
        <f t="shared" si="0"/>
        <v>0.5842229369739127</v>
      </c>
      <c r="D114" s="11">
        <f t="shared" si="1"/>
        <v>11377.803981869758</v>
      </c>
    </row>
    <row r="115" spans="1:6" x14ac:dyDescent="0.25">
      <c r="A115" s="3">
        <v>4</v>
      </c>
      <c r="B115" s="18">
        <f t="shared" ref="B115:B121" si="2">D114/1000</f>
        <v>11.377803981869757</v>
      </c>
      <c r="C115" s="16">
        <f t="shared" si="0"/>
        <v>0.57317303303093947</v>
      </c>
      <c r="D115" s="11">
        <f t="shared" si="1"/>
        <v>11325.461892377281</v>
      </c>
    </row>
    <row r="116" spans="1:6" x14ac:dyDescent="0.25">
      <c r="A116" s="3">
        <v>5</v>
      </c>
      <c r="B116" s="18">
        <f t="shared" si="2"/>
        <v>11.325461892377282</v>
      </c>
      <c r="C116" s="16">
        <f t="shared" si="0"/>
        <v>0.57513659430677921</v>
      </c>
      <c r="D116" s="11">
        <f t="shared" si="1"/>
        <v>11334.874346588418</v>
      </c>
    </row>
    <row r="117" spans="1:6" x14ac:dyDescent="0.25">
      <c r="A117" s="3">
        <v>6</v>
      </c>
      <c r="B117" s="18">
        <f t="shared" si="2"/>
        <v>11.334874346588418</v>
      </c>
      <c r="C117" s="16">
        <f t="shared" si="0"/>
        <v>0.57478349547601404</v>
      </c>
      <c r="D117" s="11">
        <f t="shared" si="1"/>
        <v>11333.185336570928</v>
      </c>
    </row>
    <row r="118" spans="1:6" x14ac:dyDescent="0.25">
      <c r="A118" s="3">
        <v>7</v>
      </c>
      <c r="B118" s="18">
        <f t="shared" si="2"/>
        <v>11.333185336570928</v>
      </c>
      <c r="C118" s="16">
        <f t="shared" si="0"/>
        <v>0.57484685700202509</v>
      </c>
      <c r="D118" s="11">
        <f t="shared" si="1"/>
        <v>11333.48853525636</v>
      </c>
    </row>
    <row r="119" spans="1:6" x14ac:dyDescent="0.25">
      <c r="A119" s="3">
        <v>8</v>
      </c>
      <c r="B119" s="18">
        <f t="shared" si="2"/>
        <v>11.333488535256359</v>
      </c>
      <c r="C119" s="16">
        <f t="shared" si="0"/>
        <v>0.57483548280578312</v>
      </c>
      <c r="D119" s="11">
        <f t="shared" si="1"/>
        <v>11333.43411098079</v>
      </c>
    </row>
    <row r="120" spans="1:6" x14ac:dyDescent="0.25">
      <c r="A120" s="3">
        <v>9</v>
      </c>
      <c r="B120" s="18">
        <f t="shared" si="2"/>
        <v>11.333434110980789</v>
      </c>
      <c r="C120" s="16">
        <f t="shared" si="0"/>
        <v>0.5748375244781927</v>
      </c>
      <c r="D120" s="11">
        <f t="shared" si="1"/>
        <v>11333.443880278386</v>
      </c>
    </row>
    <row r="121" spans="1:6" x14ac:dyDescent="0.25">
      <c r="A121" s="3">
        <v>10</v>
      </c>
      <c r="B121" s="18">
        <f t="shared" si="2"/>
        <v>11.333443880278386</v>
      </c>
      <c r="C121" s="16">
        <f t="shared" si="0"/>
        <v>0.57483715799273827</v>
      </c>
      <c r="D121" s="11">
        <f t="shared" si="1"/>
        <v>11333.442126668184</v>
      </c>
    </row>
    <row r="123" spans="1:6" x14ac:dyDescent="0.25">
      <c r="A123" s="30" t="s">
        <v>153</v>
      </c>
      <c r="B123" s="30"/>
      <c r="C123" s="31"/>
      <c r="D123" s="30">
        <f>D121/1000</f>
        <v>11.333442126668183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1006248.9292714694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634072.59804029879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1.2597466816120728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732210.6372993174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14383.904754900912</v>
      </c>
    </row>
    <row r="139" spans="1:4" x14ac:dyDescent="0.25">
      <c r="A139" s="3">
        <v>2</v>
      </c>
      <c r="B139" s="18">
        <f>D138/1000</f>
        <v>14.383904754900913</v>
      </c>
      <c r="C139" s="16">
        <f t="shared" si="3"/>
        <v>0.46040216112975352</v>
      </c>
      <c r="D139" s="11">
        <f t="shared" si="4"/>
        <v>13757.319086700105</v>
      </c>
    </row>
    <row r="140" spans="1:4" x14ac:dyDescent="0.25">
      <c r="A140" s="3">
        <v>3</v>
      </c>
      <c r="B140" s="18">
        <f>D139/1000</f>
        <v>13.757319086700106</v>
      </c>
      <c r="C140" s="16">
        <f t="shared" si="3"/>
        <v>0.48390789745027707</v>
      </c>
      <c r="D140" s="11">
        <f t="shared" si="4"/>
        <v>13811.479855609818</v>
      </c>
    </row>
    <row r="141" spans="1:4" x14ac:dyDescent="0.25">
      <c r="A141" s="3">
        <v>4</v>
      </c>
      <c r="B141" s="18">
        <f>D140/1000</f>
        <v>13.811479855609818</v>
      </c>
      <c r="C141" s="16">
        <f t="shared" si="3"/>
        <v>0.48187611023024046</v>
      </c>
      <c r="D141" s="11">
        <f t="shared" si="4"/>
        <v>13806.990785712336</v>
      </c>
    </row>
    <row r="142" spans="1:4" x14ac:dyDescent="0.25">
      <c r="A142" s="3">
        <v>5</v>
      </c>
      <c r="B142" s="18">
        <f>D141/1000</f>
        <v>13.806990785712337</v>
      </c>
      <c r="C142" s="16">
        <f t="shared" si="3"/>
        <v>0.48204451320957697</v>
      </c>
      <c r="D142" s="11">
        <f t="shared" si="4"/>
        <v>13807.364185482003</v>
      </c>
    </row>
    <row r="143" spans="1:4" x14ac:dyDescent="0.25">
      <c r="A143" s="3">
        <v>6</v>
      </c>
      <c r="B143" s="18">
        <f>D142/1000</f>
        <v>13.807364185482003</v>
      </c>
      <c r="C143" s="16">
        <f t="shared" si="3"/>
        <v>0.48203050548968585</v>
      </c>
      <c r="D143" s="11">
        <f t="shared" si="4"/>
        <v>13807.333135356173</v>
      </c>
    </row>
    <row r="144" spans="1:4" ht="18.75" customHeight="1" x14ac:dyDescent="0.25">
      <c r="A144" s="3">
        <v>7</v>
      </c>
      <c r="B144" s="18">
        <f t="shared" ref="B144:B147" si="5">D143/1000</f>
        <v>13.807333135356174</v>
      </c>
      <c r="C144" s="16">
        <f t="shared" si="3"/>
        <v>0.4820316703041837</v>
      </c>
      <c r="D144" s="11">
        <f t="shared" si="4"/>
        <v>13807.335717398508</v>
      </c>
    </row>
    <row r="145" spans="1:5" x14ac:dyDescent="0.25">
      <c r="A145" s="3">
        <v>8</v>
      </c>
      <c r="B145" s="18">
        <f t="shared" si="5"/>
        <v>13.807335717398507</v>
      </c>
      <c r="C145" s="16">
        <f t="shared" si="3"/>
        <v>0.48203157344144121</v>
      </c>
      <c r="D145" s="11">
        <f t="shared" si="4"/>
        <v>13807.335502683471</v>
      </c>
    </row>
    <row r="146" spans="1:5" x14ac:dyDescent="0.25">
      <c r="A146" s="3">
        <v>9</v>
      </c>
      <c r="B146" s="18">
        <f t="shared" si="5"/>
        <v>13.80733550268347</v>
      </c>
      <c r="C146" s="16">
        <f t="shared" si="3"/>
        <v>0.48203158149626157</v>
      </c>
      <c r="D146" s="11">
        <f t="shared" si="4"/>
        <v>13807.335520538543</v>
      </c>
    </row>
    <row r="147" spans="1:5" x14ac:dyDescent="0.25">
      <c r="A147" s="3">
        <v>10</v>
      </c>
      <c r="B147" s="18">
        <f t="shared" si="5"/>
        <v>13.807335520538544</v>
      </c>
      <c r="C147" s="16">
        <f t="shared" si="3"/>
        <v>0.48203158082644637</v>
      </c>
      <c r="D147" s="11">
        <f t="shared" si="4"/>
        <v>13807.335519053768</v>
      </c>
    </row>
    <row r="149" spans="1:5" x14ac:dyDescent="0.25">
      <c r="A149" s="30" t="s">
        <v>152</v>
      </c>
      <c r="B149" s="30"/>
      <c r="C149" s="31"/>
      <c r="D149" s="30">
        <f>D147/1000</f>
        <v>13.807335519053767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11.333442126668183</v>
      </c>
      <c r="C152" s="28">
        <f>IF(F123=TRUE,D149,MIN(D149,D123))</f>
        <v>11.333442126668183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3"/>
  <sheetViews>
    <sheetView zoomScale="85" zoomScaleNormal="85" workbookViewId="0">
      <selection activeCell="O32" sqref="O3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Screen'!F14</f>
        <v>180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Screen'!G14</f>
        <v>510.65557776590549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Screen'!H14</f>
        <v>424.61038698585736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467.6329823758814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92819.076038453961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117851.77316613946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105335.42460229671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109900.19638021721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200.0596144469998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271.79749642992886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234.31255993078548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245.30006930073858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1.3250804050834553E-5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14.404143266265924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2496570.6414849903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71854110.089056015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358918753.69520932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396767332.27384913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47.102061863744247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2.5770618637442482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11.827081402521676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2.5770618637442482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1249470685.5986071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7043003527.5779696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1232437726.2030354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7092543804.2617741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5947869403.7499971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22565325147.391384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39.332958502117023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24.745648042967375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10.683267893092511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1.2607497511845305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20.222204658548254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1.3758218146920076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13.846120088119596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13.846120088119596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47.102061863744247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4359.1640043466396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1021406.8770165949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589868.80330777436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1.3158963272474797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721264.71952654503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11284.12218162538</v>
      </c>
    </row>
    <row r="113" spans="1:6" x14ac:dyDescent="0.25">
      <c r="A113" s="3">
        <v>2</v>
      </c>
      <c r="B113" s="18">
        <f>D112/1000</f>
        <v>11.28412218162538</v>
      </c>
      <c r="C113" s="16">
        <f>(1-B113/$C$80)</f>
        <v>0.54399568918009056</v>
      </c>
      <c r="D113" s="11">
        <f t="shared" si="1"/>
        <v>9768.9195990225453</v>
      </c>
    </row>
    <row r="114" spans="1:6" x14ac:dyDescent="0.25">
      <c r="A114" s="3">
        <v>3</v>
      </c>
      <c r="B114" s="18">
        <f>D113/1000</f>
        <v>9.7689195990225457</v>
      </c>
      <c r="C114" s="16">
        <f t="shared" si="0"/>
        <v>0.60522676221450422</v>
      </c>
      <c r="D114" s="11">
        <f t="shared" si="1"/>
        <v>10068.883530877918</v>
      </c>
    </row>
    <row r="115" spans="1:6" x14ac:dyDescent="0.25">
      <c r="A115" s="3">
        <v>4</v>
      </c>
      <c r="B115" s="18">
        <f t="shared" ref="B115:B121" si="2">D114/1000</f>
        <v>10.068883530877917</v>
      </c>
      <c r="C115" s="16">
        <f t="shared" si="0"/>
        <v>0.59310487592021421</v>
      </c>
      <c r="D115" s="11">
        <f t="shared" si="1"/>
        <v>10013.05561311054</v>
      </c>
    </row>
    <row r="116" spans="1:6" x14ac:dyDescent="0.25">
      <c r="A116" s="3">
        <v>5</v>
      </c>
      <c r="B116" s="18">
        <f t="shared" si="2"/>
        <v>10.01305561311054</v>
      </c>
      <c r="C116" s="16">
        <f t="shared" si="0"/>
        <v>0.59536094606517231</v>
      </c>
      <c r="D116" s="11">
        <f t="shared" si="1"/>
        <v>10023.570697052664</v>
      </c>
    </row>
    <row r="117" spans="1:6" x14ac:dyDescent="0.25">
      <c r="A117" s="3">
        <v>6</v>
      </c>
      <c r="B117" s="18">
        <f t="shared" si="2"/>
        <v>10.023570697052664</v>
      </c>
      <c r="C117" s="16">
        <f t="shared" si="0"/>
        <v>0.5949360194710549</v>
      </c>
      <c r="D117" s="11">
        <f t="shared" si="1"/>
        <v>10021.594612644043</v>
      </c>
    </row>
    <row r="118" spans="1:6" x14ac:dyDescent="0.25">
      <c r="A118" s="3">
        <v>7</v>
      </c>
      <c r="B118" s="18">
        <f t="shared" si="2"/>
        <v>10.021594612644042</v>
      </c>
      <c r="C118" s="16">
        <f t="shared" si="0"/>
        <v>0.59501587530692523</v>
      </c>
      <c r="D118" s="11">
        <f t="shared" si="1"/>
        <v>10021.966131192934</v>
      </c>
    </row>
    <row r="119" spans="1:6" x14ac:dyDescent="0.25">
      <c r="A119" s="3">
        <v>8</v>
      </c>
      <c r="B119" s="18">
        <f t="shared" si="2"/>
        <v>10.021966131192935</v>
      </c>
      <c r="C119" s="16">
        <f t="shared" si="0"/>
        <v>0.59500086181654299</v>
      </c>
      <c r="D119" s="11">
        <f t="shared" si="1"/>
        <v>10021.896288455358</v>
      </c>
    </row>
    <row r="120" spans="1:6" x14ac:dyDescent="0.25">
      <c r="A120" s="3">
        <v>9</v>
      </c>
      <c r="B120" s="18">
        <f t="shared" si="2"/>
        <v>10.021896288455359</v>
      </c>
      <c r="C120" s="16">
        <f t="shared" si="0"/>
        <v>0.59500368424161976</v>
      </c>
      <c r="D120" s="11">
        <f t="shared" si="1"/>
        <v>10021.909418567835</v>
      </c>
    </row>
    <row r="121" spans="1:6" x14ac:dyDescent="0.25">
      <c r="A121" s="3">
        <v>10</v>
      </c>
      <c r="B121" s="18">
        <f t="shared" si="2"/>
        <v>10.021909418567835</v>
      </c>
      <c r="C121" s="16">
        <f t="shared" si="0"/>
        <v>0.59500315363872525</v>
      </c>
      <c r="D121" s="11">
        <f t="shared" si="1"/>
        <v>10021.90695017414</v>
      </c>
    </row>
    <row r="123" spans="1:6" x14ac:dyDescent="0.25">
      <c r="A123" s="30" t="s">
        <v>153</v>
      </c>
      <c r="B123" s="30"/>
      <c r="C123" s="31"/>
      <c r="D123" s="30">
        <f>D121/1000</f>
        <v>10.02190695017414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872092.67002082849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589868.80330777436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1.2159160862713367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650152.70864573133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13125.74053600873</v>
      </c>
    </row>
    <row r="139" spans="1:4" x14ac:dyDescent="0.25">
      <c r="A139" s="3">
        <v>2</v>
      </c>
      <c r="B139" s="18">
        <f>D138/1000</f>
        <v>13.125740536008731</v>
      </c>
      <c r="C139" s="16">
        <f t="shared" si="3"/>
        <v>0.46957378068185129</v>
      </c>
      <c r="D139" s="11">
        <f t="shared" si="4"/>
        <v>12397.161476253048</v>
      </c>
    </row>
    <row r="140" spans="1:4" x14ac:dyDescent="0.25">
      <c r="A140" s="3">
        <v>3</v>
      </c>
      <c r="B140" s="18">
        <f>D139/1000</f>
        <v>12.397161476253048</v>
      </c>
      <c r="C140" s="16">
        <f t="shared" si="3"/>
        <v>0.49901649555804306</v>
      </c>
      <c r="D140" s="11">
        <f t="shared" si="4"/>
        <v>12474.181365874765</v>
      </c>
    </row>
    <row r="141" spans="1:4" x14ac:dyDescent="0.25">
      <c r="A141" s="3">
        <v>4</v>
      </c>
      <c r="B141" s="18">
        <f>D140/1000</f>
        <v>12.474181365874765</v>
      </c>
      <c r="C141" s="16">
        <f t="shared" si="3"/>
        <v>0.49590403354096513</v>
      </c>
      <c r="D141" s="11">
        <f t="shared" si="4"/>
        <v>12466.428628105368</v>
      </c>
    </row>
    <row r="142" spans="1:4" x14ac:dyDescent="0.25">
      <c r="A142" s="3">
        <v>5</v>
      </c>
      <c r="B142" s="18">
        <f>D141/1000</f>
        <v>12.466428628105369</v>
      </c>
      <c r="C142" s="16">
        <f t="shared" si="3"/>
        <v>0.49621733056013928</v>
      </c>
      <c r="D142" s="11">
        <f t="shared" si="4"/>
        <v>12467.212973941621</v>
      </c>
    </row>
    <row r="143" spans="1:4" x14ac:dyDescent="0.25">
      <c r="A143" s="3">
        <v>6</v>
      </c>
      <c r="B143" s="18">
        <f>D142/1000</f>
        <v>12.467212973941621</v>
      </c>
      <c r="C143" s="16">
        <f t="shared" si="3"/>
        <v>0.496185634245907</v>
      </c>
      <c r="D143" s="11">
        <f t="shared" si="4"/>
        <v>12467.133662085918</v>
      </c>
    </row>
    <row r="144" spans="1:4" ht="18.75" customHeight="1" x14ac:dyDescent="0.25">
      <c r="A144" s="3">
        <v>7</v>
      </c>
      <c r="B144" s="18">
        <f t="shared" ref="B144:B147" si="5">D143/1000</f>
        <v>12.467133662085919</v>
      </c>
      <c r="C144" s="16">
        <f t="shared" si="3"/>
        <v>0.49618883932890034</v>
      </c>
      <c r="D144" s="11">
        <f t="shared" si="4"/>
        <v>12467.141682394544</v>
      </c>
    </row>
    <row r="145" spans="1:5" x14ac:dyDescent="0.25">
      <c r="A145" s="3">
        <v>8</v>
      </c>
      <c r="B145" s="18">
        <f t="shared" si="5"/>
        <v>12.467141682394544</v>
      </c>
      <c r="C145" s="16">
        <f t="shared" si="3"/>
        <v>0.49618851521903617</v>
      </c>
      <c r="D145" s="11">
        <f t="shared" si="4"/>
        <v>12467.140871355467</v>
      </c>
    </row>
    <row r="146" spans="1:5" x14ac:dyDescent="0.25">
      <c r="A146" s="3">
        <v>9</v>
      </c>
      <c r="B146" s="18">
        <f t="shared" si="5"/>
        <v>12.467140871355467</v>
      </c>
      <c r="C146" s="16">
        <f t="shared" si="3"/>
        <v>0.49618854799405487</v>
      </c>
      <c r="D146" s="11">
        <f t="shared" si="4"/>
        <v>12467.140953370359</v>
      </c>
    </row>
    <row r="147" spans="1:5" x14ac:dyDescent="0.25">
      <c r="A147" s="3">
        <v>10</v>
      </c>
      <c r="B147" s="18">
        <f t="shared" si="5"/>
        <v>12.467140953370359</v>
      </c>
      <c r="C147" s="16">
        <f t="shared" si="3"/>
        <v>0.49618854467973905</v>
      </c>
      <c r="D147" s="11">
        <f t="shared" si="4"/>
        <v>12467.140945076746</v>
      </c>
    </row>
    <row r="149" spans="1:5" x14ac:dyDescent="0.25">
      <c r="A149" s="30" t="s">
        <v>152</v>
      </c>
      <c r="B149" s="30"/>
      <c r="C149" s="31"/>
      <c r="D149" s="30">
        <f>D147/1000</f>
        <v>12.467140945076746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10.02190695017414</v>
      </c>
      <c r="C152" s="28">
        <f>IF(F123=TRUE,D149,MIN(D149,D123))</f>
        <v>10.02190695017414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13" sqref="F13"/>
    </sheetView>
  </sheetViews>
  <sheetFormatPr defaultRowHeight="15" x14ac:dyDescent="0.25"/>
  <sheetData>
    <row r="1" spans="1:6" x14ac:dyDescent="0.25">
      <c r="A1">
        <v>84.680167999999995</v>
      </c>
      <c r="B1">
        <v>62.169303999999997</v>
      </c>
      <c r="C1">
        <v>62.937088000000003</v>
      </c>
    </row>
    <row r="2" spans="1:6" x14ac:dyDescent="0.25">
      <c r="A2">
        <v>147.55038500000001</v>
      </c>
      <c r="B2">
        <v>86.375174999999999</v>
      </c>
      <c r="C2">
        <v>86.789742000000004</v>
      </c>
    </row>
    <row r="3" spans="1:6" x14ac:dyDescent="0.25">
      <c r="A3">
        <v>347.71676600000001</v>
      </c>
      <c r="B3">
        <v>238.18895000000001</v>
      </c>
      <c r="C3">
        <v>244.65303</v>
      </c>
    </row>
    <row r="4" spans="1:6" x14ac:dyDescent="0.25">
      <c r="A4">
        <v>362.96585099999999</v>
      </c>
      <c r="B4">
        <v>285.04296900000003</v>
      </c>
      <c r="C4">
        <v>281.92465199999998</v>
      </c>
    </row>
    <row r="5" spans="1:6" x14ac:dyDescent="0.25">
      <c r="A5">
        <v>415.96163899999999</v>
      </c>
      <c r="B5">
        <v>379.559753</v>
      </c>
      <c r="C5">
        <v>350.82693499999999</v>
      </c>
    </row>
    <row r="6" spans="1:6" x14ac:dyDescent="0.25">
      <c r="A6">
        <v>458.76711999999998</v>
      </c>
      <c r="B6">
        <v>437.77081299999998</v>
      </c>
      <c r="C6">
        <v>410.98623700000002</v>
      </c>
    </row>
    <row r="9" spans="1:6" x14ac:dyDescent="0.25">
      <c r="A9">
        <v>84.680167999999995</v>
      </c>
      <c r="B9">
        <v>62.937088000000003</v>
      </c>
      <c r="C9">
        <v>62.169303999999997</v>
      </c>
      <c r="E9">
        <v>84.680167999999995</v>
      </c>
      <c r="F9">
        <v>62.937088000000003</v>
      </c>
    </row>
    <row r="10" spans="1:6" x14ac:dyDescent="0.25">
      <c r="A10">
        <v>147.55038500000001</v>
      </c>
      <c r="B10">
        <v>86.789742000000004</v>
      </c>
      <c r="C10">
        <v>86.375174999999999</v>
      </c>
      <c r="E10">
        <v>147.55038500000001</v>
      </c>
      <c r="F10">
        <v>86.789742000000004</v>
      </c>
    </row>
    <row r="11" spans="1:6" x14ac:dyDescent="0.25">
      <c r="A11">
        <v>347.71676600000001</v>
      </c>
      <c r="B11">
        <v>244.65303</v>
      </c>
      <c r="C11">
        <v>238.18895000000001</v>
      </c>
      <c r="E11">
        <v>317.86630200000002</v>
      </c>
      <c r="F11">
        <v>232.71762100000001</v>
      </c>
    </row>
    <row r="12" spans="1:6" x14ac:dyDescent="0.25">
      <c r="A12">
        <v>360.11895800000002</v>
      </c>
      <c r="B12">
        <v>269.85098299999999</v>
      </c>
      <c r="C12">
        <v>267.00473</v>
      </c>
      <c r="E12">
        <v>360.11895800000002</v>
      </c>
      <c r="F12">
        <v>269.85098299999999</v>
      </c>
    </row>
    <row r="13" spans="1:6" x14ac:dyDescent="0.25">
      <c r="A13">
        <v>396.79907200000002</v>
      </c>
      <c r="B13">
        <v>324.59774800000002</v>
      </c>
      <c r="C13">
        <v>348.52832000000001</v>
      </c>
      <c r="E13">
        <v>415.96163899999999</v>
      </c>
      <c r="F13">
        <v>350.82693499999999</v>
      </c>
    </row>
    <row r="14" spans="1:6" x14ac:dyDescent="0.25">
      <c r="A14">
        <v>458.76711999999998</v>
      </c>
      <c r="B14">
        <v>410.98623700000002</v>
      </c>
      <c r="C14">
        <v>437.77081299999998</v>
      </c>
      <c r="E14">
        <v>458.76711999999998</v>
      </c>
      <c r="F14">
        <v>410.98623700000002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53"/>
  <sheetViews>
    <sheetView tabSelected="1" topLeftCell="A16" zoomScale="85" zoomScaleNormal="85" workbookViewId="0">
      <selection activeCell="L27" sqref="L27"/>
    </sheetView>
  </sheetViews>
  <sheetFormatPr defaultRowHeight="15.75" x14ac:dyDescent="0.25"/>
  <cols>
    <col min="1" max="1" width="62.140625" style="3" customWidth="1"/>
    <col min="2" max="2" width="13.140625" style="2" customWidth="1"/>
    <col min="3" max="3" width="15" style="3" bestFit="1" customWidth="1"/>
    <col min="4" max="4" width="11.140625" style="3" customWidth="1"/>
    <col min="5" max="5" width="9.140625" style="3"/>
    <col min="6" max="6" width="18.140625" style="3" customWidth="1"/>
    <col min="7" max="7" width="12.28515625" style="3" customWidth="1"/>
    <col min="8" max="16384" width="9.140625" style="3"/>
  </cols>
  <sheetData>
    <row r="1" spans="1:7" x14ac:dyDescent="0.25">
      <c r="A1" s="1" t="s">
        <v>131</v>
      </c>
    </row>
    <row r="2" spans="1:7" x14ac:dyDescent="0.25">
      <c r="A2" s="2" t="s">
        <v>0</v>
      </c>
    </row>
    <row r="4" spans="1:7" ht="21" customHeight="1" x14ac:dyDescent="0.25">
      <c r="A4" s="21" t="s">
        <v>24</v>
      </c>
      <c r="B4" s="4"/>
      <c r="C4" s="5"/>
      <c r="D4" s="5"/>
      <c r="F4" s="60" t="s">
        <v>151</v>
      </c>
      <c r="G4" s="60"/>
    </row>
    <row r="5" spans="1:7" ht="20.25" customHeight="1" x14ac:dyDescent="0.25">
      <c r="A5" s="5" t="s">
        <v>167</v>
      </c>
      <c r="B5" s="4" t="s">
        <v>1</v>
      </c>
      <c r="C5" s="6">
        <v>88.05</v>
      </c>
      <c r="D5" s="5" t="s">
        <v>2</v>
      </c>
      <c r="F5" s="60"/>
      <c r="G5" s="60"/>
    </row>
    <row r="6" spans="1:7" ht="20.25" customHeight="1" x14ac:dyDescent="0.25">
      <c r="A6" s="5" t="s">
        <v>168</v>
      </c>
      <c r="B6" s="4" t="s">
        <v>3</v>
      </c>
      <c r="C6" s="6">
        <v>35.049999999999997</v>
      </c>
      <c r="D6" s="5" t="s">
        <v>2</v>
      </c>
      <c r="F6" s="60"/>
      <c r="G6" s="60"/>
    </row>
    <row r="7" spans="1:7" ht="20.25" customHeight="1" x14ac:dyDescent="0.25">
      <c r="A7" s="5" t="s">
        <v>169</v>
      </c>
      <c r="B7" s="4" t="s">
        <v>4</v>
      </c>
      <c r="C7" s="6">
        <v>6.5250000000000004</v>
      </c>
      <c r="D7" s="5" t="s">
        <v>2</v>
      </c>
      <c r="F7" s="60"/>
      <c r="G7" s="60"/>
    </row>
    <row r="8" spans="1:7" ht="20.25" customHeight="1" x14ac:dyDescent="0.25">
      <c r="A8" s="5" t="s">
        <v>27</v>
      </c>
      <c r="B8" s="4" t="s">
        <v>5</v>
      </c>
      <c r="C8" s="6">
        <v>0.95</v>
      </c>
      <c r="D8" s="5" t="s">
        <v>2</v>
      </c>
      <c r="F8" s="61">
        <f>MIN($C$38,$C$43,$C$48)/1000</f>
        <v>28.425793841874054</v>
      </c>
      <c r="G8" s="62" t="s">
        <v>8</v>
      </c>
    </row>
    <row r="9" spans="1:7" ht="20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61"/>
      <c r="G9" s="62"/>
    </row>
    <row r="10" spans="1:7" ht="17.25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</row>
    <row r="11" spans="1:7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7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7" ht="19.5" x14ac:dyDescent="0.3">
      <c r="A13" s="5" t="s">
        <v>113</v>
      </c>
      <c r="B13" s="4" t="s">
        <v>112</v>
      </c>
      <c r="C13" s="22">
        <f>'Input-Output Screen'!C13</f>
        <v>26513</v>
      </c>
      <c r="D13" s="5" t="s">
        <v>51</v>
      </c>
    </row>
    <row r="14" spans="1:7" x14ac:dyDescent="0.25">
      <c r="A14" s="5"/>
      <c r="B14" s="4"/>
      <c r="C14" s="5"/>
      <c r="D14" s="5"/>
    </row>
    <row r="15" spans="1:7" ht="18.75" x14ac:dyDescent="0.25">
      <c r="A15" s="21" t="s">
        <v>137</v>
      </c>
      <c r="B15" s="4"/>
      <c r="C15" s="5"/>
      <c r="D15" s="5"/>
    </row>
    <row r="16" spans="1:7" ht="17.25" x14ac:dyDescent="0.3">
      <c r="A16" s="5" t="s">
        <v>33</v>
      </c>
      <c r="B16" s="4" t="s">
        <v>58</v>
      </c>
      <c r="C16" s="22">
        <f>'Input-Output Screen'!C16</f>
        <v>215500</v>
      </c>
      <c r="D16" s="5" t="s">
        <v>6</v>
      </c>
    </row>
    <row r="17" spans="1:4" ht="17.25" x14ac:dyDescent="0.3">
      <c r="A17" s="5" t="s">
        <v>34</v>
      </c>
      <c r="B17" s="4" t="s">
        <v>59</v>
      </c>
      <c r="C17" s="6">
        <f>'Input-Output Screen'!C17</f>
        <v>617.5</v>
      </c>
      <c r="D17" s="5" t="s">
        <v>6</v>
      </c>
    </row>
    <row r="18" spans="1:4" x14ac:dyDescent="0.25">
      <c r="A18" s="5"/>
      <c r="B18" s="4"/>
      <c r="C18" s="5"/>
      <c r="D18" s="5"/>
    </row>
    <row r="19" spans="1:4" x14ac:dyDescent="0.25">
      <c r="A19" s="21" t="s">
        <v>106</v>
      </c>
      <c r="B19" s="4"/>
      <c r="C19" s="5"/>
      <c r="D19" s="5"/>
    </row>
    <row r="20" spans="1:4" ht="18.75" x14ac:dyDescent="0.25">
      <c r="A20" s="5" t="s">
        <v>126</v>
      </c>
      <c r="B20" s="4"/>
      <c r="C20" s="24">
        <f>'Input-Output Screen'!C21</f>
        <v>0.22073999999999999</v>
      </c>
      <c r="D20" s="5"/>
    </row>
    <row r="21" spans="1:4" ht="18.75" customHeight="1" x14ac:dyDescent="0.25">
      <c r="A21" s="5" t="s">
        <v>130</v>
      </c>
      <c r="B21" s="4"/>
      <c r="C21" s="24">
        <f>'Input-Output Screen'!C22</f>
        <v>0.48527999999999999</v>
      </c>
      <c r="D21" s="5"/>
    </row>
    <row r="22" spans="1:4" x14ac:dyDescent="0.25">
      <c r="A22" s="5"/>
      <c r="B22" s="5"/>
      <c r="C22" s="5"/>
      <c r="D22" s="5"/>
    </row>
    <row r="24" spans="1:4" x14ac:dyDescent="0.25">
      <c r="A24" s="1" t="s">
        <v>111</v>
      </c>
    </row>
    <row r="25" spans="1:4" ht="17.25" x14ac:dyDescent="0.3">
      <c r="A25" s="3" t="s">
        <v>127</v>
      </c>
      <c r="B25" s="2" t="s">
        <v>132</v>
      </c>
      <c r="C25" s="7">
        <f>($C$12/$C$11)^0.5</f>
        <v>35.509711401881709</v>
      </c>
      <c r="D25" s="3" t="s">
        <v>2</v>
      </c>
    </row>
    <row r="26" spans="1:4" ht="17.25" x14ac:dyDescent="0.3">
      <c r="A26" s="3" t="s">
        <v>128</v>
      </c>
      <c r="B26" s="2" t="s">
        <v>133</v>
      </c>
      <c r="C26" s="7">
        <f>($C$13/$C$11)^0.5</f>
        <v>12.858785872421224</v>
      </c>
      <c r="D26" s="3" t="s">
        <v>2</v>
      </c>
    </row>
    <row r="28" spans="1:4" ht="17.25" x14ac:dyDescent="0.3">
      <c r="A28" s="1" t="s">
        <v>138</v>
      </c>
    </row>
    <row r="29" spans="1:4" x14ac:dyDescent="0.25">
      <c r="A29" s="3" t="s">
        <v>110</v>
      </c>
    </row>
    <row r="30" spans="1:4" ht="17.25" x14ac:dyDescent="0.3">
      <c r="A30" s="3" t="s">
        <v>114</v>
      </c>
      <c r="B30" s="2" t="s">
        <v>125</v>
      </c>
      <c r="C30" s="8">
        <f>(3.141592654)^2*$C$16/($C$9/$C$25)^2</f>
        <v>297.98801410106267</v>
      </c>
      <c r="D30" s="3" t="s">
        <v>129</v>
      </c>
    </row>
    <row r="31" spans="1:4" ht="17.25" x14ac:dyDescent="0.3">
      <c r="A31" s="3" t="s">
        <v>115</v>
      </c>
      <c r="B31" s="2" t="s">
        <v>124</v>
      </c>
      <c r="C31" s="8">
        <f>(3.141592654)^2*$C$16/($C$10/$C$26)^2</f>
        <v>351.67941539640668</v>
      </c>
      <c r="D31" s="3" t="s">
        <v>6</v>
      </c>
    </row>
    <row r="32" spans="1:4" ht="17.25" x14ac:dyDescent="0.3">
      <c r="A32" s="3" t="s">
        <v>116</v>
      </c>
      <c r="B32" s="2" t="s">
        <v>123</v>
      </c>
      <c r="C32" s="8">
        <f>MIN(C30:C31)</f>
        <v>297.98801410106267</v>
      </c>
      <c r="D32" s="3" t="s">
        <v>6</v>
      </c>
    </row>
    <row r="33" spans="1:6" x14ac:dyDescent="0.25">
      <c r="C33" s="8"/>
    </row>
    <row r="34" spans="1:6" ht="17.25" x14ac:dyDescent="0.3">
      <c r="A34" s="3" t="s">
        <v>117</v>
      </c>
      <c r="B34" s="2" t="s">
        <v>122</v>
      </c>
      <c r="C34" s="23">
        <f>C11*C32</f>
        <v>47781.275505453232</v>
      </c>
      <c r="D34" s="3" t="s">
        <v>118</v>
      </c>
    </row>
    <row r="35" spans="1:6" ht="17.25" x14ac:dyDescent="0.3">
      <c r="A35" s="3" t="s">
        <v>119</v>
      </c>
      <c r="B35" s="2" t="s">
        <v>121</v>
      </c>
      <c r="C35" s="23">
        <f>$C$11*$C$17</f>
        <v>99013.840250000008</v>
      </c>
      <c r="D35" s="3" t="s">
        <v>118</v>
      </c>
    </row>
    <row r="37" spans="1:6" ht="17.25" x14ac:dyDescent="0.3">
      <c r="A37" s="3" t="s">
        <v>10</v>
      </c>
      <c r="B37" s="2" t="s">
        <v>91</v>
      </c>
      <c r="C37" s="16">
        <f>SQRT($C$35/$C$34)</f>
        <v>1.4395245737723172</v>
      </c>
    </row>
    <row r="38" spans="1:6" ht="17.25" x14ac:dyDescent="0.3">
      <c r="A38" s="26" t="s">
        <v>21</v>
      </c>
      <c r="B38" s="26" t="s">
        <v>141</v>
      </c>
      <c r="C38" s="27">
        <f>IF(C37&lt;=1.5,(0.658^(C37^2))*C35,(0.877/(C37^2))*C35)</f>
        <v>41592.78172657339</v>
      </c>
      <c r="D38" s="26" t="s">
        <v>118</v>
      </c>
    </row>
    <row r="39" spans="1:6" x14ac:dyDescent="0.25">
      <c r="C39" s="7"/>
    </row>
    <row r="40" spans="1:6" ht="17.25" x14ac:dyDescent="0.3">
      <c r="A40" s="1" t="s">
        <v>139</v>
      </c>
      <c r="C40" s="7"/>
    </row>
    <row r="41" spans="1:6" ht="17.25" x14ac:dyDescent="0.3">
      <c r="A41" s="3" t="s">
        <v>120</v>
      </c>
      <c r="B41" s="2" t="s">
        <v>61</v>
      </c>
      <c r="C41" s="23">
        <f>$C$20*$C$11*$C$17</f>
        <v>21856.315096785002</v>
      </c>
      <c r="D41" s="3" t="s">
        <v>118</v>
      </c>
    </row>
    <row r="42" spans="1:6" ht="17.25" x14ac:dyDescent="0.3">
      <c r="A42" s="3" t="s">
        <v>10</v>
      </c>
      <c r="B42" s="2" t="s">
        <v>93</v>
      </c>
      <c r="C42" s="16">
        <f>SQRT(C38/C41)</f>
        <v>1.3794962108235278</v>
      </c>
      <c r="F42" s="3">
        <f>SQRT(C35/C41)</f>
        <v>2.128430535476979</v>
      </c>
    </row>
    <row r="43" spans="1:6" ht="17.25" x14ac:dyDescent="0.3">
      <c r="A43" s="26" t="s">
        <v>11</v>
      </c>
      <c r="B43" s="26" t="s">
        <v>142</v>
      </c>
      <c r="C43" s="27">
        <f>IF(C42&lt;0.776,C38,(1-0.15*(C41/C38)^0.4)*((C41/C38)^0.4)*C38)</f>
        <v>28425.793841874052</v>
      </c>
      <c r="D43" s="26" t="s">
        <v>8</v>
      </c>
      <c r="F43" s="3">
        <f>IF(C42&lt;0.776,C35,(1-0.15*(C41/C35)^0.4)*((C41/C35)^0.4)*C35)</f>
        <v>49671.376944190924</v>
      </c>
    </row>
    <row r="44" spans="1:6" x14ac:dyDescent="0.25">
      <c r="C44" s="9"/>
    </row>
    <row r="45" spans="1:6" ht="17.25" x14ac:dyDescent="0.3">
      <c r="A45" s="1" t="s">
        <v>140</v>
      </c>
      <c r="C45" s="7"/>
    </row>
    <row r="46" spans="1:6" ht="17.25" x14ac:dyDescent="0.3">
      <c r="A46" s="3" t="s">
        <v>136</v>
      </c>
      <c r="B46" s="2" t="s">
        <v>134</v>
      </c>
      <c r="C46" s="23">
        <f>$C$21*$C$11*$C$17</f>
        <v>48049.436396520003</v>
      </c>
      <c r="D46" s="3" t="s">
        <v>8</v>
      </c>
    </row>
    <row r="47" spans="1:6" ht="17.25" x14ac:dyDescent="0.3">
      <c r="A47" s="3" t="s">
        <v>10</v>
      </c>
      <c r="B47" s="2" t="s">
        <v>135</v>
      </c>
      <c r="C47" s="16">
        <f>SQRT(C35/C46)</f>
        <v>1.4355020053115719</v>
      </c>
    </row>
    <row r="48" spans="1:6" ht="17.25" x14ac:dyDescent="0.3">
      <c r="A48" s="26" t="s">
        <v>196</v>
      </c>
      <c r="B48" s="26" t="s">
        <v>143</v>
      </c>
      <c r="C48" s="27">
        <f>IF(C47&lt;0.561,C35,(1-0.25*(C46/C35)^0.6)*((C46/C35)^0.6)*C35)</f>
        <v>53768.931939710026</v>
      </c>
      <c r="D48" s="26" t="s">
        <v>8</v>
      </c>
    </row>
    <row r="49" spans="1:4" x14ac:dyDescent="0.25">
      <c r="C49" s="9"/>
    </row>
    <row r="50" spans="1:4" ht="49.5" customHeight="1" x14ac:dyDescent="0.25">
      <c r="A50" s="60" t="s">
        <v>151</v>
      </c>
      <c r="B50" s="60"/>
      <c r="C50" s="32">
        <f>MIN(C38,C43,C48)/1000</f>
        <v>28.425793841874054</v>
      </c>
      <c r="D50" s="29" t="s">
        <v>118</v>
      </c>
    </row>
    <row r="51" spans="1:4" x14ac:dyDescent="0.25">
      <c r="B51" s="3"/>
    </row>
    <row r="53" spans="1:4" ht="60.75" customHeight="1" x14ac:dyDescent="0.25">
      <c r="A53" s="60" t="s">
        <v>197</v>
      </c>
      <c r="B53" s="60"/>
      <c r="C53" s="32">
        <f>MIN(C38,C43)/1000</f>
        <v>28.425793841874054</v>
      </c>
      <c r="D53" s="29" t="s">
        <v>118</v>
      </c>
    </row>
  </sheetData>
  <mergeCells count="5">
    <mergeCell ref="A50:B50"/>
    <mergeCell ref="F8:F9"/>
    <mergeCell ref="G8:G9"/>
    <mergeCell ref="F4:G7"/>
    <mergeCell ref="A53:B5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53"/>
  <sheetViews>
    <sheetView zoomScale="85" zoomScaleNormal="85" workbookViewId="0">
      <selection activeCell="C5" sqref="C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Screen'!F7</f>
        <v>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Screen'!G7</f>
        <v>84.680167999999995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Screen'!H7</f>
        <v>62.937088000000003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73.808627999999999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200000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200000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200000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200000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7.725248259237713E-6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2.1220328723809607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5379434.375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121939803.12499999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609102000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753340737.5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46.454516724115237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1.9295167241152384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0.19251614826572228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1.9295167241152384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2612620912.7258053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14761385753.646339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2162810550.9814768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12410840762.262257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11243823999.502234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43191481979.118111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47.364760070075086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20.284283152468678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1.0077723255531814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31.44629581285281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1.2451019565682391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23.066455018745305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23.066455018745305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46.454516724115237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4648.792520609386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1394637.7561828159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1119981.820996833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1.1158998584055493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1101970.5839987916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22973.876060173894</v>
      </c>
    </row>
    <row r="113" spans="1:6" x14ac:dyDescent="0.25">
      <c r="A113" s="3">
        <v>2</v>
      </c>
      <c r="B113" s="18">
        <f>D112/1000</f>
        <v>22.973876060173893</v>
      </c>
      <c r="C113" s="16">
        <f>(1-B113/$C$80)</f>
        <v>0.51495846223680708</v>
      </c>
      <c r="D113" s="11">
        <f t="shared" si="1"/>
        <v>22887.352629697391</v>
      </c>
    </row>
    <row r="114" spans="1:6" x14ac:dyDescent="0.25">
      <c r="A114" s="3">
        <v>3</v>
      </c>
      <c r="B114" s="18">
        <f>D113/1000</f>
        <v>22.887352629697389</v>
      </c>
      <c r="C114" s="16">
        <f t="shared" si="0"/>
        <v>0.51678520917584991</v>
      </c>
      <c r="D114" s="11">
        <f t="shared" si="1"/>
        <v>22887.980827362819</v>
      </c>
    </row>
    <row r="115" spans="1:6" x14ac:dyDescent="0.25">
      <c r="A115" s="3">
        <v>4</v>
      </c>
      <c r="B115" s="18">
        <f t="shared" ref="B115:B121" si="2">D114/1000</f>
        <v>22.887980827362817</v>
      </c>
      <c r="C115" s="16">
        <f t="shared" si="0"/>
        <v>0.51677194620007427</v>
      </c>
      <c r="D115" s="11">
        <f t="shared" si="1"/>
        <v>22887.976282256877</v>
      </c>
    </row>
    <row r="116" spans="1:6" x14ac:dyDescent="0.25">
      <c r="A116" s="3">
        <v>5</v>
      </c>
      <c r="B116" s="18">
        <f t="shared" si="2"/>
        <v>22.887976282256876</v>
      </c>
      <c r="C116" s="16">
        <f t="shared" si="0"/>
        <v>0.51677204215972727</v>
      </c>
      <c r="D116" s="11">
        <f t="shared" si="1"/>
        <v>22887.976315142245</v>
      </c>
    </row>
    <row r="117" spans="1:6" x14ac:dyDescent="0.25">
      <c r="A117" s="3">
        <v>6</v>
      </c>
      <c r="B117" s="18">
        <f t="shared" si="2"/>
        <v>22.887976315142247</v>
      </c>
      <c r="C117" s="16">
        <f t="shared" si="0"/>
        <v>0.51677204146542688</v>
      </c>
      <c r="D117" s="11">
        <f t="shared" si="1"/>
        <v>22887.97631490431</v>
      </c>
    </row>
    <row r="118" spans="1:6" x14ac:dyDescent="0.25">
      <c r="A118" s="3">
        <v>7</v>
      </c>
      <c r="B118" s="18">
        <f t="shared" si="2"/>
        <v>22.887976314904311</v>
      </c>
      <c r="C118" s="16">
        <f t="shared" si="0"/>
        <v>0.51677204147045042</v>
      </c>
      <c r="D118" s="11">
        <f t="shared" si="1"/>
        <v>22887.976314906031</v>
      </c>
    </row>
    <row r="119" spans="1:6" x14ac:dyDescent="0.25">
      <c r="A119" s="3">
        <v>8</v>
      </c>
      <c r="B119" s="18">
        <f t="shared" si="2"/>
        <v>22.88797631490603</v>
      </c>
      <c r="C119" s="16">
        <f t="shared" si="0"/>
        <v>0.51677204147041411</v>
      </c>
      <c r="D119" s="11">
        <f t="shared" si="1"/>
        <v>22887.97631490602</v>
      </c>
    </row>
    <row r="120" spans="1:6" x14ac:dyDescent="0.25">
      <c r="A120" s="3">
        <v>9</v>
      </c>
      <c r="B120" s="18">
        <f t="shared" si="2"/>
        <v>22.88797631490602</v>
      </c>
      <c r="C120" s="16">
        <f t="shared" si="0"/>
        <v>0.51677204147041433</v>
      </c>
      <c r="D120" s="11">
        <f t="shared" si="1"/>
        <v>22887.97631490602</v>
      </c>
    </row>
    <row r="121" spans="1:6" x14ac:dyDescent="0.25">
      <c r="A121" s="3">
        <v>10</v>
      </c>
      <c r="B121" s="18">
        <f t="shared" si="2"/>
        <v>22.88797631490602</v>
      </c>
      <c r="C121" s="16">
        <f t="shared" si="0"/>
        <v>0.51677204147041433</v>
      </c>
      <c r="D121" s="11">
        <f t="shared" si="1"/>
        <v>22887.97631490602</v>
      </c>
    </row>
    <row r="123" spans="1:6" x14ac:dyDescent="0.25">
      <c r="A123" s="30" t="s">
        <v>153</v>
      </c>
      <c r="B123" s="30"/>
      <c r="C123" s="31"/>
      <c r="D123" s="30">
        <f>D121/1000</f>
        <v>22.88797631490602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1394637.7561828159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1119981.820996833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1.1158998584055493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1101970.5839987916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22170.998201512</v>
      </c>
    </row>
    <row r="139" spans="1:4" x14ac:dyDescent="0.25">
      <c r="A139" s="3">
        <v>2</v>
      </c>
      <c r="B139" s="18">
        <f>D138/1000</f>
        <v>22.170998201511999</v>
      </c>
      <c r="C139" s="16">
        <f t="shared" si="3"/>
        <v>0.53190941601497588</v>
      </c>
      <c r="D139" s="11">
        <f t="shared" si="4"/>
        <v>21438.591567478721</v>
      </c>
    </row>
    <row r="140" spans="1:4" x14ac:dyDescent="0.25">
      <c r="A140" s="3">
        <v>3</v>
      </c>
      <c r="B140" s="18">
        <f>D139/1000</f>
        <v>21.438591567478721</v>
      </c>
      <c r="C140" s="16">
        <f t="shared" si="3"/>
        <v>0.54737252894850918</v>
      </c>
      <c r="D140" s="11">
        <f t="shared" si="4"/>
        <v>21481.418206998926</v>
      </c>
    </row>
    <row r="141" spans="1:4" x14ac:dyDescent="0.25">
      <c r="A141" s="3">
        <v>4</v>
      </c>
      <c r="B141" s="18">
        <f>D140/1000</f>
        <v>21.481418206998924</v>
      </c>
      <c r="C141" s="16">
        <f t="shared" si="3"/>
        <v>0.54646834112074771</v>
      </c>
      <c r="D141" s="11">
        <f t="shared" si="4"/>
        <v>21478.976094186059</v>
      </c>
    </row>
    <row r="142" spans="1:4" x14ac:dyDescent="0.25">
      <c r="A142" s="3">
        <v>5</v>
      </c>
      <c r="B142" s="18">
        <f>D141/1000</f>
        <v>21.478976094186059</v>
      </c>
      <c r="C142" s="16">
        <f t="shared" si="3"/>
        <v>0.54651990082060165</v>
      </c>
      <c r="D142" s="11">
        <f t="shared" si="4"/>
        <v>21479.115553623033</v>
      </c>
    </row>
    <row r="143" spans="1:4" x14ac:dyDescent="0.25">
      <c r="A143" s="3">
        <v>6</v>
      </c>
      <c r="B143" s="18">
        <f>D142/1000</f>
        <v>21.479115553623032</v>
      </c>
      <c r="C143" s="16">
        <f t="shared" si="3"/>
        <v>0.54651695644936926</v>
      </c>
      <c r="D143" s="11">
        <f t="shared" si="4"/>
        <v>21479.107590303956</v>
      </c>
    </row>
    <row r="144" spans="1:4" ht="18.75" customHeight="1" x14ac:dyDescent="0.25">
      <c r="A144" s="3">
        <v>7</v>
      </c>
      <c r="B144" s="18">
        <f t="shared" ref="B144:B147" si="5">D143/1000</f>
        <v>21.479107590303958</v>
      </c>
      <c r="C144" s="16">
        <f t="shared" si="3"/>
        <v>0.54651712457687729</v>
      </c>
      <c r="D144" s="11">
        <f t="shared" si="4"/>
        <v>21479.108045022207</v>
      </c>
    </row>
    <row r="145" spans="1:5" x14ac:dyDescent="0.25">
      <c r="A145" s="3">
        <v>8</v>
      </c>
      <c r="B145" s="18">
        <f t="shared" si="5"/>
        <v>21.479108045022208</v>
      </c>
      <c r="C145" s="16">
        <f t="shared" si="3"/>
        <v>0.54651711497652777</v>
      </c>
      <c r="D145" s="11">
        <f t="shared" si="4"/>
        <v>21479.108019057072</v>
      </c>
    </row>
    <row r="146" spans="1:5" x14ac:dyDescent="0.25">
      <c r="A146" s="3">
        <v>9</v>
      </c>
      <c r="B146" s="18">
        <f t="shared" si="5"/>
        <v>21.479108019057072</v>
      </c>
      <c r="C146" s="16">
        <f t="shared" si="3"/>
        <v>0.54651711552472304</v>
      </c>
      <c r="D146" s="11">
        <f t="shared" si="4"/>
        <v>21479.108020539723</v>
      </c>
    </row>
    <row r="147" spans="1:5" x14ac:dyDescent="0.25">
      <c r="A147" s="3">
        <v>10</v>
      </c>
      <c r="B147" s="18">
        <f t="shared" si="5"/>
        <v>21.479108020539723</v>
      </c>
      <c r="C147" s="16">
        <f t="shared" si="3"/>
        <v>0.54651711549342019</v>
      </c>
      <c r="D147" s="11">
        <f t="shared" si="4"/>
        <v>21479.10802045506</v>
      </c>
    </row>
    <row r="149" spans="1:5" x14ac:dyDescent="0.25">
      <c r="A149" s="30" t="s">
        <v>152</v>
      </c>
      <c r="B149" s="30"/>
      <c r="C149" s="31"/>
      <c r="D149" s="30">
        <f>D147/1000</f>
        <v>21.479108020455058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21.479108020455058</v>
      </c>
      <c r="C152" s="28">
        <f>IF(F123=TRUE,D149,MIN(D149,D123))</f>
        <v>21.479108020455058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3"/>
  <sheetViews>
    <sheetView zoomScale="85" zoomScaleNormal="85" workbookViewId="0">
      <selection activeCell="C3" sqref="C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Screen'!F8</f>
        <v>60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Screen'!G8</f>
        <v>147.55038500000001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Screen'!H8</f>
        <v>86.789742000000004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117.1700635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192548.2648471375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200000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198014.97584865123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200000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9.9023177746752864E-6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7.6011240266934248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5179003.773826478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121939803.12499999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609102000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745863739.70933783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46.215115241454406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1.6901152414544072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5.9110087852390176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1.6901152414544072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2487220303.5442452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14065302872.233448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2189476332.995316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12550733514.580708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11117711693.307997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42410444716.661713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46.508256869746816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20.082959192716444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1.0170096355959828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31.201083549734737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1.2464388739407966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22.869772456740609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22.869772456740609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46.215115241454406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4588.3737923280187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1376512.1376984057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1108865.8661780816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1.1141675746569306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1088785.5645909505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20343.879877401152</v>
      </c>
    </row>
    <row r="113" spans="1:6" x14ac:dyDescent="0.25">
      <c r="A113" s="3">
        <v>2</v>
      </c>
      <c r="B113" s="18">
        <f>D112/1000</f>
        <v>20.343879877401154</v>
      </c>
      <c r="C113" s="16">
        <f>(1-B113/$C$80)</f>
        <v>0.56257487924397664</v>
      </c>
      <c r="D113" s="11">
        <f t="shared" si="1"/>
        <v>18734.977839097726</v>
      </c>
    </row>
    <row r="114" spans="1:6" x14ac:dyDescent="0.25">
      <c r="A114" s="3">
        <v>3</v>
      </c>
      <c r="B114" s="18">
        <f>D113/1000</f>
        <v>18.734977839097727</v>
      </c>
      <c r="C114" s="16">
        <f t="shared" si="0"/>
        <v>0.5971687803400636</v>
      </c>
      <c r="D114" s="11">
        <f t="shared" si="1"/>
        <v>18933.276748721666</v>
      </c>
    </row>
    <row r="115" spans="1:6" x14ac:dyDescent="0.25">
      <c r="A115" s="3">
        <v>4</v>
      </c>
      <c r="B115" s="18">
        <f t="shared" ref="B115:B121" si="2">D114/1000</f>
        <v>18.933276748721667</v>
      </c>
      <c r="C115" s="16">
        <f t="shared" si="0"/>
        <v>0.59290504475910422</v>
      </c>
      <c r="D115" s="11">
        <f t="shared" si="1"/>
        <v>18909.869972701283</v>
      </c>
    </row>
    <row r="116" spans="1:6" x14ac:dyDescent="0.25">
      <c r="A116" s="3">
        <v>5</v>
      </c>
      <c r="B116" s="18">
        <f t="shared" si="2"/>
        <v>18.909869972701284</v>
      </c>
      <c r="C116" s="16">
        <f t="shared" si="0"/>
        <v>0.59340832692007472</v>
      </c>
      <c r="D116" s="11">
        <f t="shared" si="1"/>
        <v>18912.647337153936</v>
      </c>
    </row>
    <row r="117" spans="1:6" x14ac:dyDescent="0.25">
      <c r="A117" s="3">
        <v>6</v>
      </c>
      <c r="B117" s="18">
        <f t="shared" si="2"/>
        <v>18.912647337153935</v>
      </c>
      <c r="C117" s="16">
        <f t="shared" si="0"/>
        <v>0.59334860925616772</v>
      </c>
      <c r="D117" s="11">
        <f t="shared" si="1"/>
        <v>18912.317988735962</v>
      </c>
    </row>
    <row r="118" spans="1:6" x14ac:dyDescent="0.25">
      <c r="A118" s="3">
        <v>7</v>
      </c>
      <c r="B118" s="18">
        <f t="shared" si="2"/>
        <v>18.91231798873596</v>
      </c>
      <c r="C118" s="16">
        <f t="shared" si="0"/>
        <v>0.59335569076040251</v>
      </c>
      <c r="D118" s="11">
        <f t="shared" si="1"/>
        <v>18912.35704674925</v>
      </c>
    </row>
    <row r="119" spans="1:6" x14ac:dyDescent="0.25">
      <c r="A119" s="3">
        <v>8</v>
      </c>
      <c r="B119" s="18">
        <f t="shared" si="2"/>
        <v>18.91235704674925</v>
      </c>
      <c r="C119" s="16">
        <f t="shared" si="0"/>
        <v>0.59335485095224971</v>
      </c>
      <c r="D119" s="11">
        <f t="shared" si="1"/>
        <v>18912.352414830439</v>
      </c>
    </row>
    <row r="120" spans="1:6" x14ac:dyDescent="0.25">
      <c r="A120" s="3">
        <v>9</v>
      </c>
      <c r="B120" s="18">
        <f t="shared" si="2"/>
        <v>18.912352414830437</v>
      </c>
      <c r="C120" s="16">
        <f t="shared" si="0"/>
        <v>0.59335495054572251</v>
      </c>
      <c r="D120" s="11">
        <f t="shared" si="1"/>
        <v>18912.352964133701</v>
      </c>
    </row>
    <row r="121" spans="1:6" x14ac:dyDescent="0.25">
      <c r="A121" s="3">
        <v>10</v>
      </c>
      <c r="B121" s="18">
        <f t="shared" si="2"/>
        <v>18.912352964133699</v>
      </c>
      <c r="C121" s="16">
        <f t="shared" si="0"/>
        <v>0.59335493873484624</v>
      </c>
      <c r="D121" s="11">
        <f t="shared" si="1"/>
        <v>18912.352898991358</v>
      </c>
    </row>
    <row r="123" spans="1:6" x14ac:dyDescent="0.25">
      <c r="A123" s="30" t="s">
        <v>153</v>
      </c>
      <c r="B123" s="30"/>
      <c r="C123" s="31"/>
      <c r="D123" s="30">
        <f>D121/1000</f>
        <v>18.912352898991358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1376512.1376984057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1108865.8661780816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1.1141675746569306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1088785.5645909505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22085.716077975088</v>
      </c>
    </row>
    <row r="139" spans="1:4" x14ac:dyDescent="0.25">
      <c r="A139" s="3">
        <v>2</v>
      </c>
      <c r="B139" s="18">
        <f>D138/1000</f>
        <v>22.085716077975089</v>
      </c>
      <c r="C139" s="16">
        <f t="shared" si="3"/>
        <v>0.52512268649781113</v>
      </c>
      <c r="D139" s="11">
        <f t="shared" si="4"/>
        <v>21421.579233255914</v>
      </c>
    </row>
    <row r="140" spans="1:4" x14ac:dyDescent="0.25">
      <c r="A140" s="3">
        <v>3</v>
      </c>
      <c r="B140" s="18">
        <f>D139/1000</f>
        <v>21.421579233255915</v>
      </c>
      <c r="C140" s="16">
        <f t="shared" si="3"/>
        <v>0.53940266363346656</v>
      </c>
      <c r="D140" s="11">
        <f t="shared" si="4"/>
        <v>21457.550790717996</v>
      </c>
    </row>
    <row r="141" spans="1:4" x14ac:dyDescent="0.25">
      <c r="A141" s="3">
        <v>4</v>
      </c>
      <c r="B141" s="18">
        <f>D140/1000</f>
        <v>21.457550790717995</v>
      </c>
      <c r="C141" s="16">
        <f t="shared" si="3"/>
        <v>0.53862921909085926</v>
      </c>
      <c r="D141" s="11">
        <f t="shared" si="4"/>
        <v>21455.648302663169</v>
      </c>
    </row>
    <row r="142" spans="1:4" x14ac:dyDescent="0.25">
      <c r="A142" s="3">
        <v>5</v>
      </c>
      <c r="B142" s="18">
        <f>D141/1000</f>
        <v>21.455648302663167</v>
      </c>
      <c r="C142" s="16">
        <f t="shared" si="3"/>
        <v>0.53867012554882776</v>
      </c>
      <c r="D142" s="11">
        <f t="shared" si="4"/>
        <v>21455.749051110892</v>
      </c>
    </row>
    <row r="143" spans="1:4" x14ac:dyDescent="0.25">
      <c r="A143" s="3">
        <v>6</v>
      </c>
      <c r="B143" s="18">
        <f>D142/1000</f>
        <v>21.455749051110892</v>
      </c>
      <c r="C143" s="16">
        <f t="shared" si="3"/>
        <v>0.53866795930019784</v>
      </c>
      <c r="D143" s="11">
        <f t="shared" si="4"/>
        <v>21455.743716220702</v>
      </c>
    </row>
    <row r="144" spans="1:4" ht="18.75" customHeight="1" x14ac:dyDescent="0.25">
      <c r="A144" s="3">
        <v>7</v>
      </c>
      <c r="B144" s="18">
        <f t="shared" ref="B144:B147" si="5">D143/1000</f>
        <v>21.455743716220702</v>
      </c>
      <c r="C144" s="16">
        <f t="shared" si="3"/>
        <v>0.53866807400865069</v>
      </c>
      <c r="D144" s="11">
        <f t="shared" si="4"/>
        <v>21455.74399871791</v>
      </c>
    </row>
    <row r="145" spans="1:5" x14ac:dyDescent="0.25">
      <c r="A145" s="3">
        <v>8</v>
      </c>
      <c r="B145" s="18">
        <f t="shared" si="5"/>
        <v>21.45574399871791</v>
      </c>
      <c r="C145" s="16">
        <f t="shared" si="3"/>
        <v>0.53866806793452049</v>
      </c>
      <c r="D145" s="11">
        <f t="shared" si="4"/>
        <v>21455.743983758901</v>
      </c>
    </row>
    <row r="146" spans="1:5" x14ac:dyDescent="0.25">
      <c r="A146" s="3">
        <v>9</v>
      </c>
      <c r="B146" s="18">
        <f t="shared" si="5"/>
        <v>21.4557439837589</v>
      </c>
      <c r="C146" s="16">
        <f t="shared" si="3"/>
        <v>0.53866806825616242</v>
      </c>
      <c r="D146" s="11">
        <f t="shared" si="4"/>
        <v>21455.743984551023</v>
      </c>
    </row>
    <row r="147" spans="1:5" x14ac:dyDescent="0.25">
      <c r="A147" s="3">
        <v>10</v>
      </c>
      <c r="B147" s="18">
        <f t="shared" si="5"/>
        <v>21.455743984551024</v>
      </c>
      <c r="C147" s="16">
        <f t="shared" si="3"/>
        <v>0.5386680682391306</v>
      </c>
      <c r="D147" s="11">
        <f t="shared" si="4"/>
        <v>21455.743984509078</v>
      </c>
    </row>
    <row r="149" spans="1:5" x14ac:dyDescent="0.25">
      <c r="A149" s="30" t="s">
        <v>152</v>
      </c>
      <c r="B149" s="30"/>
      <c r="C149" s="31"/>
      <c r="D149" s="30">
        <f>D147/1000</f>
        <v>21.455743984509077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18.912352898991358</v>
      </c>
      <c r="C152" s="28">
        <f>IF(F123=TRUE,D149,MIN(D149,D123))</f>
        <v>18.912352898991358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Screen'!F9</f>
        <v>85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Screen'!G9</f>
        <v>317.86630200000002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Screen'!H9</f>
        <v>232.71762100000001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275.29196150000001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148906.29609064999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173678.17611057503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161292.2361006125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168281.92879069841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1.2074800406224581E-5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12.989022952490998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4005158.2392198541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105891413.01016298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528938622.1265173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607540060.48529768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46.190471305259585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1.6654713052595866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11.323551647231412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1.6654713052595866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1921253438.0625327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10865738853.608307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1903713066.5871787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10911486467.559328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9054755270.5626945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34656947096.380035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38.005595287861489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16.358486936798275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1.1250357656715313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28.320943411733911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1.3157770053594695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20.000037970939328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20.000037970939328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46.190471305259585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4458.6196805373584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1337585.9041612076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903221.86150307558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1.2169244625860531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996618.11735822866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16296.762323255911</v>
      </c>
    </row>
    <row r="113" spans="1:6" x14ac:dyDescent="0.25">
      <c r="A113" s="3">
        <v>2</v>
      </c>
      <c r="B113" s="18">
        <f>D112/1000</f>
        <v>16.296762323255912</v>
      </c>
      <c r="C113" s="16">
        <f>(1-B113/$C$80)</f>
        <v>0.57120097186161178</v>
      </c>
      <c r="D113" s="11">
        <f t="shared" si="1"/>
        <v>14307.935183110216</v>
      </c>
    </row>
    <row r="114" spans="1:6" x14ac:dyDescent="0.25">
      <c r="A114" s="3">
        <v>3</v>
      </c>
      <c r="B114" s="18">
        <f>D113/1000</f>
        <v>14.307935183110216</v>
      </c>
      <c r="C114" s="16">
        <f t="shared" si="0"/>
        <v>0.62353082290280581</v>
      </c>
      <c r="D114" s="11">
        <f t="shared" si="1"/>
        <v>14658.049334132487</v>
      </c>
    </row>
    <row r="115" spans="1:6" x14ac:dyDescent="0.25">
      <c r="A115" s="3">
        <v>4</v>
      </c>
      <c r="B115" s="18">
        <f t="shared" ref="B115:B121" si="2">D114/1000</f>
        <v>14.658049334132487</v>
      </c>
      <c r="C115" s="16">
        <f t="shared" si="0"/>
        <v>0.61431864905391742</v>
      </c>
      <c r="D115" s="11">
        <f t="shared" si="1"/>
        <v>14599.572922166912</v>
      </c>
    </row>
    <row r="116" spans="1:6" x14ac:dyDescent="0.25">
      <c r="A116" s="3">
        <v>5</v>
      </c>
      <c r="B116" s="18">
        <f t="shared" si="2"/>
        <v>14.599572922166912</v>
      </c>
      <c r="C116" s="16">
        <f t="shared" si="0"/>
        <v>0.61585727544623325</v>
      </c>
      <c r="D116" s="11">
        <f t="shared" si="1"/>
        <v>14609.428603917253</v>
      </c>
    </row>
    <row r="117" spans="1:6" x14ac:dyDescent="0.25">
      <c r="A117" s="3">
        <v>6</v>
      </c>
      <c r="B117" s="18">
        <f t="shared" si="2"/>
        <v>14.609428603917253</v>
      </c>
      <c r="C117" s="16">
        <f t="shared" si="0"/>
        <v>0.61559795358386815</v>
      </c>
      <c r="D117" s="11">
        <f t="shared" si="1"/>
        <v>14607.770037264243</v>
      </c>
    </row>
    <row r="118" spans="1:6" x14ac:dyDescent="0.25">
      <c r="A118" s="3">
        <v>7</v>
      </c>
      <c r="B118" s="18">
        <f t="shared" si="2"/>
        <v>14.607770037264244</v>
      </c>
      <c r="C118" s="16">
        <f t="shared" si="0"/>
        <v>0.61564159364898086</v>
      </c>
      <c r="D118" s="11">
        <f t="shared" si="1"/>
        <v>14608.049221121344</v>
      </c>
    </row>
    <row r="119" spans="1:6" x14ac:dyDescent="0.25">
      <c r="A119" s="3">
        <v>8</v>
      </c>
      <c r="B119" s="18">
        <f t="shared" si="2"/>
        <v>14.608049221121345</v>
      </c>
      <c r="C119" s="16">
        <f t="shared" si="0"/>
        <v>0.61563424778701015</v>
      </c>
      <c r="D119" s="11">
        <f t="shared" si="1"/>
        <v>14608.0022285753</v>
      </c>
    </row>
    <row r="120" spans="1:6" x14ac:dyDescent="0.25">
      <c r="A120" s="3">
        <v>9</v>
      </c>
      <c r="B120" s="18">
        <f t="shared" si="2"/>
        <v>14.6080022285753</v>
      </c>
      <c r="C120" s="16">
        <f t="shared" si="0"/>
        <v>0.6156354842508962</v>
      </c>
      <c r="D120" s="11">
        <f t="shared" si="1"/>
        <v>14608.010138471715</v>
      </c>
    </row>
    <row r="121" spans="1:6" x14ac:dyDescent="0.25">
      <c r="A121" s="3">
        <v>10</v>
      </c>
      <c r="B121" s="18">
        <f t="shared" si="2"/>
        <v>14.608010138471714</v>
      </c>
      <c r="C121" s="16">
        <f t="shared" si="0"/>
        <v>0.61563527612637259</v>
      </c>
      <c r="D121" s="11">
        <f t="shared" si="1"/>
        <v>14608.00880706088</v>
      </c>
    </row>
    <row r="123" spans="1:6" x14ac:dyDescent="0.25">
      <c r="A123" s="30" t="s">
        <v>153</v>
      </c>
      <c r="B123" s="30"/>
      <c r="C123" s="31"/>
      <c r="D123" s="30">
        <f>D121/1000</f>
        <v>14.60800880706088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1337585.9041612076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903221.86150307558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1.2169244625860531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996618.11735822866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19353.205079626427</v>
      </c>
    </row>
    <row r="139" spans="1:4" x14ac:dyDescent="0.25">
      <c r="A139" s="3">
        <v>2</v>
      </c>
      <c r="B139" s="18">
        <f>D138/1000</f>
        <v>19.353205079626427</v>
      </c>
      <c r="C139" s="16">
        <f t="shared" si="3"/>
        <v>0.49078010926965798</v>
      </c>
      <c r="D139" s="11">
        <f t="shared" si="4"/>
        <v>18724.859940550417</v>
      </c>
    </row>
    <row r="140" spans="1:4" x14ac:dyDescent="0.25">
      <c r="A140" s="3">
        <v>3</v>
      </c>
      <c r="B140" s="18">
        <f>D139/1000</f>
        <v>18.724859940550417</v>
      </c>
      <c r="C140" s="16">
        <f t="shared" si="3"/>
        <v>0.50731307327974151</v>
      </c>
      <c r="D140" s="11">
        <f t="shared" si="4"/>
        <v>18763.848445708616</v>
      </c>
    </row>
    <row r="141" spans="1:4" x14ac:dyDescent="0.25">
      <c r="A141" s="3">
        <v>4</v>
      </c>
      <c r="B141" s="18">
        <f>D140/1000</f>
        <v>18.763848445708614</v>
      </c>
      <c r="C141" s="16">
        <f t="shared" si="3"/>
        <v>0.50628721103859275</v>
      </c>
      <c r="D141" s="11">
        <f t="shared" si="4"/>
        <v>18761.498737924972</v>
      </c>
    </row>
    <row r="142" spans="1:4" x14ac:dyDescent="0.25">
      <c r="A142" s="3">
        <v>5</v>
      </c>
      <c r="B142" s="18">
        <f>D141/1000</f>
        <v>18.761498737924974</v>
      </c>
      <c r="C142" s="16">
        <f t="shared" si="3"/>
        <v>0.50634903635051964</v>
      </c>
      <c r="D142" s="11">
        <f t="shared" si="4"/>
        <v>18761.640599928367</v>
      </c>
    </row>
    <row r="143" spans="1:4" x14ac:dyDescent="0.25">
      <c r="A143" s="3">
        <v>6</v>
      </c>
      <c r="B143" s="18">
        <f>D142/1000</f>
        <v>18.761640599928366</v>
      </c>
      <c r="C143" s="16">
        <f t="shared" si="3"/>
        <v>0.50634530368951758</v>
      </c>
      <c r="D143" s="11">
        <f t="shared" si="4"/>
        <v>18761.632036028546</v>
      </c>
    </row>
    <row r="144" spans="1:4" ht="18.75" customHeight="1" x14ac:dyDescent="0.25">
      <c r="A144" s="3">
        <v>7</v>
      </c>
      <c r="B144" s="18">
        <f t="shared" ref="B144:B147" si="5">D143/1000</f>
        <v>18.761632036028548</v>
      </c>
      <c r="C144" s="16">
        <f t="shared" si="3"/>
        <v>0.50634552902212326</v>
      </c>
      <c r="D144" s="11">
        <f t="shared" si="4"/>
        <v>18761.632553015865</v>
      </c>
    </row>
    <row r="145" spans="1:5" x14ac:dyDescent="0.25">
      <c r="A145" s="3">
        <v>8</v>
      </c>
      <c r="B145" s="18">
        <f t="shared" si="5"/>
        <v>18.761632553015865</v>
      </c>
      <c r="C145" s="16">
        <f t="shared" si="3"/>
        <v>0.50634551541919681</v>
      </c>
      <c r="D145" s="11">
        <f t="shared" si="4"/>
        <v>18761.632521806278</v>
      </c>
    </row>
    <row r="146" spans="1:5" x14ac:dyDescent="0.25">
      <c r="A146" s="3">
        <v>9</v>
      </c>
      <c r="B146" s="18">
        <f t="shared" si="5"/>
        <v>18.761632521806277</v>
      </c>
      <c r="C146" s="16">
        <f t="shared" si="3"/>
        <v>0.50634551624038093</v>
      </c>
      <c r="D146" s="11">
        <f t="shared" si="4"/>
        <v>18761.632523690347</v>
      </c>
    </row>
    <row r="147" spans="1:5" x14ac:dyDescent="0.25">
      <c r="A147" s="3">
        <v>10</v>
      </c>
      <c r="B147" s="18">
        <f t="shared" si="5"/>
        <v>18.761632523690345</v>
      </c>
      <c r="C147" s="16">
        <f t="shared" si="3"/>
        <v>0.50634551619080748</v>
      </c>
      <c r="D147" s="11">
        <f t="shared" si="4"/>
        <v>18761.632523576609</v>
      </c>
    </row>
    <row r="149" spans="1:5" x14ac:dyDescent="0.25">
      <c r="A149" s="30" t="s">
        <v>152</v>
      </c>
      <c r="B149" s="30"/>
      <c r="C149" s="31"/>
      <c r="D149" s="30">
        <f>D147/1000</f>
        <v>18.761632523576608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14.60800880706088</v>
      </c>
      <c r="C152" s="28">
        <f>IF(F123=TRUE,D149,MIN(D149,D123))</f>
        <v>14.60800880706088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Screen'!F10</f>
        <v>110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Screen'!G10</f>
        <v>360.11895800000002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Screen'!H10</f>
        <v>269.85098299999999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314.98497050000003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136613.94214385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162875.15277072502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149744.54745728752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156233.81435597147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1.2360915103922367E-5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14.096228214769631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3674528.6823644396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99304820.314082533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496037906.51477075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564043339.09038365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46.426758538313791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1.9017585383137927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12.194469676455839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1.9017585383137927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1782288273.3485491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10071009565.377954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1763851582.7227476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10120264637.761683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8417159448.6412802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32154573507.852215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35.261435578694389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15.187304005809521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1.1679926346052401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27.177075866245296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1.3377070632238273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18.974193134135803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18.974193134135803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46.426758538313791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4433.0165719596334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1329904.9715878901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838555.85472779779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1.2593437960360572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967935.70460870862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15313.562157228136</v>
      </c>
    </row>
    <row r="113" spans="1:6" x14ac:dyDescent="0.25">
      <c r="A113" s="3">
        <v>2</v>
      </c>
      <c r="B113" s="18">
        <f>D112/1000</f>
        <v>15.313562157228136</v>
      </c>
      <c r="C113" s="16">
        <f>(1-B113/$C$80)</f>
        <v>0.56571359316746395</v>
      </c>
      <c r="D113" s="11">
        <f t="shared" si="1"/>
        <v>13338.109864733098</v>
      </c>
    </row>
    <row r="114" spans="1:6" x14ac:dyDescent="0.25">
      <c r="A114" s="3">
        <v>3</v>
      </c>
      <c r="B114" s="18">
        <f>D113/1000</f>
        <v>13.338109864733099</v>
      </c>
      <c r="C114" s="16">
        <f t="shared" si="0"/>
        <v>0.62173661832440441</v>
      </c>
      <c r="D114" s="11">
        <f t="shared" si="1"/>
        <v>13704.928132950541</v>
      </c>
    </row>
    <row r="115" spans="1:6" x14ac:dyDescent="0.25">
      <c r="A115" s="3">
        <v>4</v>
      </c>
      <c r="B115" s="18">
        <f t="shared" ref="B115:B121" si="2">D114/1000</f>
        <v>13.704928132950542</v>
      </c>
      <c r="C115" s="16">
        <f t="shared" si="0"/>
        <v>0.61133380113340274</v>
      </c>
      <c r="D115" s="11">
        <f t="shared" si="1"/>
        <v>13640.468390640277</v>
      </c>
    </row>
    <row r="116" spans="1:6" x14ac:dyDescent="0.25">
      <c r="A116" s="3">
        <v>5</v>
      </c>
      <c r="B116" s="18">
        <f t="shared" si="2"/>
        <v>13.640468390640278</v>
      </c>
      <c r="C116" s="16">
        <f t="shared" si="0"/>
        <v>0.61316185326039019</v>
      </c>
      <c r="D116" s="11">
        <f t="shared" si="1"/>
        <v>13651.909658030936</v>
      </c>
    </row>
    <row r="117" spans="1:6" x14ac:dyDescent="0.25">
      <c r="A117" s="3">
        <v>6</v>
      </c>
      <c r="B117" s="18">
        <f t="shared" si="2"/>
        <v>13.651909658030936</v>
      </c>
      <c r="C117" s="16">
        <f t="shared" si="0"/>
        <v>0.61283738356132977</v>
      </c>
      <c r="D117" s="11">
        <f t="shared" si="1"/>
        <v>13649.882477185925</v>
      </c>
    </row>
    <row r="118" spans="1:6" x14ac:dyDescent="0.25">
      <c r="A118" s="3">
        <v>7</v>
      </c>
      <c r="B118" s="18">
        <f t="shared" si="2"/>
        <v>13.649882477185926</v>
      </c>
      <c r="C118" s="16">
        <f t="shared" si="0"/>
        <v>0.61289487358723882</v>
      </c>
      <c r="D118" s="11">
        <f t="shared" si="1"/>
        <v>13650.241768674818</v>
      </c>
    </row>
    <row r="119" spans="1:6" x14ac:dyDescent="0.25">
      <c r="A119" s="3">
        <v>8</v>
      </c>
      <c r="B119" s="18">
        <f t="shared" si="2"/>
        <v>13.650241768674817</v>
      </c>
      <c r="C119" s="16">
        <f t="shared" si="0"/>
        <v>0.61288468422645437</v>
      </c>
      <c r="D119" s="11">
        <f t="shared" si="1"/>
        <v>13650.178092458173</v>
      </c>
    </row>
    <row r="120" spans="1:6" x14ac:dyDescent="0.25">
      <c r="A120" s="3">
        <v>9</v>
      </c>
      <c r="B120" s="18">
        <f t="shared" si="2"/>
        <v>13.650178092458173</v>
      </c>
      <c r="C120" s="16">
        <f t="shared" si="0"/>
        <v>0.61288649005811147</v>
      </c>
      <c r="D120" s="11">
        <f t="shared" si="1"/>
        <v>13650.189377725406</v>
      </c>
    </row>
    <row r="121" spans="1:6" x14ac:dyDescent="0.25">
      <c r="A121" s="3">
        <v>10</v>
      </c>
      <c r="B121" s="18">
        <f t="shared" si="2"/>
        <v>13.650189377725406</v>
      </c>
      <c r="C121" s="16">
        <f t="shared" si="0"/>
        <v>0.61288617001251355</v>
      </c>
      <c r="D121" s="11">
        <f t="shared" si="1"/>
        <v>13650.187377653147</v>
      </c>
    </row>
    <row r="123" spans="1:6" x14ac:dyDescent="0.25">
      <c r="A123" s="30" t="s">
        <v>153</v>
      </c>
      <c r="B123" s="30"/>
      <c r="C123" s="31"/>
      <c r="D123" s="30">
        <f>D121/1000</f>
        <v>13.650187377653147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1329904.9715878901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838555.85472779779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1.2593437960360572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967935.70460870862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18292.263399216023</v>
      </c>
    </row>
    <row r="139" spans="1:4" x14ac:dyDescent="0.25">
      <c r="A139" s="3">
        <v>2</v>
      </c>
      <c r="B139" s="18">
        <f>D138/1000</f>
        <v>18.292263399216022</v>
      </c>
      <c r="C139" s="16">
        <f t="shared" si="3"/>
        <v>0.48123883503289511</v>
      </c>
      <c r="D139" s="11">
        <f t="shared" si="4"/>
        <v>17610.01454382556</v>
      </c>
    </row>
    <row r="140" spans="1:4" x14ac:dyDescent="0.25">
      <c r="A140" s="3">
        <v>3</v>
      </c>
      <c r="B140" s="18">
        <f>D139/1000</f>
        <v>17.61001454382556</v>
      </c>
      <c r="C140" s="16">
        <f t="shared" si="3"/>
        <v>0.50058713563931423</v>
      </c>
      <c r="D140" s="11">
        <f t="shared" si="4"/>
        <v>17659.087170458712</v>
      </c>
    </row>
    <row r="141" spans="1:4" x14ac:dyDescent="0.25">
      <c r="A141" s="3">
        <v>4</v>
      </c>
      <c r="B141" s="18">
        <f>D140/1000</f>
        <v>17.659087170458712</v>
      </c>
      <c r="C141" s="16">
        <f t="shared" si="3"/>
        <v>0.49919545586712699</v>
      </c>
      <c r="D141" s="11">
        <f t="shared" si="4"/>
        <v>17655.675630493661</v>
      </c>
    </row>
    <row r="142" spans="1:4" x14ac:dyDescent="0.25">
      <c r="A142" s="3">
        <v>5</v>
      </c>
      <c r="B142" s="18">
        <f>D141/1000</f>
        <v>17.655675630493661</v>
      </c>
      <c r="C142" s="16">
        <f t="shared" si="3"/>
        <v>0.4992922057557535</v>
      </c>
      <c r="D142" s="11">
        <f t="shared" si="4"/>
        <v>17655.913373888161</v>
      </c>
    </row>
    <row r="143" spans="1:4" x14ac:dyDescent="0.25">
      <c r="A143" s="3">
        <v>6</v>
      </c>
      <c r="B143" s="18">
        <f>D142/1000</f>
        <v>17.655913373888161</v>
      </c>
      <c r="C143" s="16">
        <f t="shared" si="3"/>
        <v>0.49928546344958824</v>
      </c>
      <c r="D143" s="11">
        <f t="shared" si="4"/>
        <v>17655.896808805886</v>
      </c>
    </row>
    <row r="144" spans="1:4" ht="18.75" customHeight="1" x14ac:dyDescent="0.25">
      <c r="A144" s="3">
        <v>7</v>
      </c>
      <c r="B144" s="18">
        <f t="shared" ref="B144:B147" si="5">D143/1000</f>
        <v>17.655896808805885</v>
      </c>
      <c r="C144" s="16">
        <f t="shared" si="3"/>
        <v>0.4992859332285976</v>
      </c>
      <c r="D144" s="11">
        <f t="shared" si="4"/>
        <v>17655.897963013173</v>
      </c>
    </row>
    <row r="145" spans="1:5" x14ac:dyDescent="0.25">
      <c r="A145" s="3">
        <v>8</v>
      </c>
      <c r="B145" s="18">
        <f t="shared" si="5"/>
        <v>17.655897963013171</v>
      </c>
      <c r="C145" s="16">
        <f t="shared" si="3"/>
        <v>0.4992859004957475</v>
      </c>
      <c r="D145" s="11">
        <f t="shared" si="4"/>
        <v>17655.897882591395</v>
      </c>
    </row>
    <row r="146" spans="1:5" x14ac:dyDescent="0.25">
      <c r="A146" s="3">
        <v>9</v>
      </c>
      <c r="B146" s="18">
        <f t="shared" si="5"/>
        <v>17.655897882591393</v>
      </c>
      <c r="C146" s="16">
        <f t="shared" si="3"/>
        <v>0.49928590277647644</v>
      </c>
      <c r="D146" s="11">
        <f t="shared" si="4"/>
        <v>17655.897888194952</v>
      </c>
    </row>
    <row r="147" spans="1:5" x14ac:dyDescent="0.25">
      <c r="A147" s="3">
        <v>10</v>
      </c>
      <c r="B147" s="18">
        <f t="shared" si="5"/>
        <v>17.65589788819495</v>
      </c>
      <c r="C147" s="16">
        <f t="shared" si="3"/>
        <v>0.49928590261756189</v>
      </c>
      <c r="D147" s="11">
        <f t="shared" si="4"/>
        <v>17655.897887804509</v>
      </c>
    </row>
    <row r="149" spans="1:5" x14ac:dyDescent="0.25">
      <c r="A149" s="30" t="s">
        <v>152</v>
      </c>
      <c r="B149" s="30"/>
      <c r="C149" s="31"/>
      <c r="D149" s="30">
        <f>D147/1000</f>
        <v>17.65589788780451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13.650187377653147</v>
      </c>
      <c r="C152" s="28">
        <f>IF(F123=TRUE,D149,MIN(D149,D123))</f>
        <v>13.650187377653147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3"/>
  <sheetViews>
    <sheetView zoomScale="85" zoomScaleNormal="85" workbookViewId="0">
      <selection activeCell="F1" sqref="F1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Screen'!F11</f>
        <v>150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Screen'!G11</f>
        <v>415.96163899999999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Screen'!H11</f>
        <v>350.82693499999999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383.39428699999996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120367.91017392502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139317.22393512502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129842.56705452502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135469.37007830403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279.78003029725545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1.2788734555138875E-5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10.523461479578721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3237556.3681826224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84941574.292853415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424291998.66666251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489078476.11874533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46.107588637331389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1.5825886373313907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8.9408728422473303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1.5825886373313907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1546992919.1445725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8751792451.6156864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1533538898.6182525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8786612742.7456837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7286250990.8035917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27905188002.927788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30.601462925213561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13.168816976886934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1.2537732639266126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24.91385108709806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1.3754571057006344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17.061627488304783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17.061627488304783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46.107588637331389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4467.5706752231617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1340271.2025669485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727106.57346315158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1.3576796474963031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926177.24624767387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14648.885648141162</v>
      </c>
    </row>
    <row r="113" spans="1:6" x14ac:dyDescent="0.25">
      <c r="A113" s="3">
        <v>2</v>
      </c>
      <c r="B113" s="18">
        <f>D112/1000</f>
        <v>14.648885648141162</v>
      </c>
      <c r="C113" s="16">
        <f>(1-B113/$C$80)</f>
        <v>0.52130113243470266</v>
      </c>
      <c r="D113" s="11">
        <f t="shared" si="1"/>
        <v>12965.260587198432</v>
      </c>
    </row>
    <row r="114" spans="1:6" x14ac:dyDescent="0.25">
      <c r="A114" s="3">
        <v>3</v>
      </c>
      <c r="B114" s="18">
        <f>D113/1000</f>
        <v>12.965260587198433</v>
      </c>
      <c r="C114" s="16">
        <f t="shared" si="0"/>
        <v>0.57631892897133608</v>
      </c>
      <c r="D114" s="11">
        <f t="shared" si="1"/>
        <v>13269.398053601706</v>
      </c>
    </row>
    <row r="115" spans="1:6" x14ac:dyDescent="0.25">
      <c r="A115" s="3">
        <v>4</v>
      </c>
      <c r="B115" s="18">
        <f t="shared" ref="B115:B121" si="2">D114/1000</f>
        <v>13.269398053601707</v>
      </c>
      <c r="C115" s="16">
        <f t="shared" si="0"/>
        <v>0.56638027122982382</v>
      </c>
      <c r="D115" s="11">
        <f t="shared" si="1"/>
        <v>13217.844996777776</v>
      </c>
    </row>
    <row r="116" spans="1:6" x14ac:dyDescent="0.25">
      <c r="A116" s="3">
        <v>5</v>
      </c>
      <c r="B116" s="18">
        <f t="shared" si="2"/>
        <v>13.217844996777776</v>
      </c>
      <c r="C116" s="16">
        <f t="shared" si="0"/>
        <v>0.56806493110866429</v>
      </c>
      <c r="D116" s="11">
        <f t="shared" si="1"/>
        <v>13226.681969479849</v>
      </c>
    </row>
    <row r="117" spans="1:6" x14ac:dyDescent="0.25">
      <c r="A117" s="3">
        <v>6</v>
      </c>
      <c r="B117" s="18">
        <f t="shared" si="2"/>
        <v>13.226681969479849</v>
      </c>
      <c r="C117" s="16">
        <f t="shared" si="0"/>
        <v>0.56777615495689437</v>
      </c>
      <c r="D117" s="11">
        <f t="shared" si="1"/>
        <v>13225.170065592707</v>
      </c>
    </row>
    <row r="118" spans="1:6" x14ac:dyDescent="0.25">
      <c r="A118" s="3">
        <v>7</v>
      </c>
      <c r="B118" s="18">
        <f t="shared" si="2"/>
        <v>13.225170065592707</v>
      </c>
      <c r="C118" s="16">
        <f t="shared" si="0"/>
        <v>0.56782556121864192</v>
      </c>
      <c r="D118" s="11">
        <f t="shared" si="1"/>
        <v>13225.428819398145</v>
      </c>
    </row>
    <row r="119" spans="1:6" x14ac:dyDescent="0.25">
      <c r="A119" s="3">
        <v>8</v>
      </c>
      <c r="B119" s="18">
        <f t="shared" si="2"/>
        <v>13.225428819398145</v>
      </c>
      <c r="C119" s="16">
        <f t="shared" si="0"/>
        <v>0.56781710561617382</v>
      </c>
      <c r="D119" s="11">
        <f t="shared" si="1"/>
        <v>13225.3845376224</v>
      </c>
    </row>
    <row r="120" spans="1:6" x14ac:dyDescent="0.25">
      <c r="A120" s="3">
        <v>9</v>
      </c>
      <c r="B120" s="18">
        <f t="shared" si="2"/>
        <v>13.2253845376224</v>
      </c>
      <c r="C120" s="16">
        <f t="shared" si="0"/>
        <v>0.56781855266384773</v>
      </c>
      <c r="D120" s="11">
        <f t="shared" si="1"/>
        <v>13225.392115846884</v>
      </c>
    </row>
    <row r="121" spans="1:6" x14ac:dyDescent="0.25">
      <c r="A121" s="3">
        <v>10</v>
      </c>
      <c r="B121" s="18">
        <f t="shared" si="2"/>
        <v>13.225392115846883</v>
      </c>
      <c r="C121" s="16">
        <f t="shared" si="0"/>
        <v>0.56781830502129216</v>
      </c>
      <c r="D121" s="11">
        <f t="shared" si="1"/>
        <v>13225.390818938815</v>
      </c>
    </row>
    <row r="123" spans="1:6" x14ac:dyDescent="0.25">
      <c r="A123" s="30" t="s">
        <v>153</v>
      </c>
      <c r="B123" s="30"/>
      <c r="C123" s="31"/>
      <c r="D123" s="30">
        <f>D121/1000</f>
        <v>13.225390818938815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1249937.0588690662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727106.57346315158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1.3111278328528106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884855.57799243438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16556.405593851381</v>
      </c>
    </row>
    <row r="139" spans="1:4" x14ac:dyDescent="0.25">
      <c r="A139" s="3">
        <v>2</v>
      </c>
      <c r="B139" s="18">
        <f>D138/1000</f>
        <v>16.55640559385138</v>
      </c>
      <c r="C139" s="16">
        <f t="shared" si="3"/>
        <v>0.45896685938468618</v>
      </c>
      <c r="D139" s="11">
        <f t="shared" si="4"/>
        <v>15997.974927136065</v>
      </c>
    </row>
    <row r="140" spans="1:4" x14ac:dyDescent="0.25">
      <c r="A140" s="3">
        <v>3</v>
      </c>
      <c r="B140" s="18">
        <f>D139/1000</f>
        <v>15.997974927136065</v>
      </c>
      <c r="C140" s="16">
        <f t="shared" si="3"/>
        <v>0.47721535515366476</v>
      </c>
      <c r="D140" s="11">
        <f t="shared" si="4"/>
        <v>16036.203982633</v>
      </c>
    </row>
    <row r="141" spans="1:4" x14ac:dyDescent="0.25">
      <c r="A141" s="3">
        <v>4</v>
      </c>
      <c r="B141" s="18">
        <f>D140/1000</f>
        <v>16.036203982633001</v>
      </c>
      <c r="C141" s="16">
        <f t="shared" si="3"/>
        <v>0.47596609933898815</v>
      </c>
      <c r="D141" s="11">
        <f t="shared" si="4"/>
        <v>16033.674735651846</v>
      </c>
    </row>
    <row r="142" spans="1:4" x14ac:dyDescent="0.25">
      <c r="A142" s="3">
        <v>5</v>
      </c>
      <c r="B142" s="18">
        <f>D141/1000</f>
        <v>16.033674735651847</v>
      </c>
      <c r="C142" s="16">
        <f t="shared" si="3"/>
        <v>0.47604875051770257</v>
      </c>
      <c r="D142" s="11">
        <f t="shared" si="4"/>
        <v>16033.842456840721</v>
      </c>
    </row>
    <row r="143" spans="1:4" x14ac:dyDescent="0.25">
      <c r="A143" s="3">
        <v>6</v>
      </c>
      <c r="B143" s="18">
        <f>D142/1000</f>
        <v>16.03384245684072</v>
      </c>
      <c r="C143" s="16">
        <f t="shared" si="3"/>
        <v>0.47604326969512611</v>
      </c>
      <c r="D143" s="11">
        <f t="shared" si="4"/>
        <v>16033.831336490692</v>
      </c>
    </row>
    <row r="144" spans="1:4" ht="18.75" customHeight="1" x14ac:dyDescent="0.25">
      <c r="A144" s="3">
        <v>7</v>
      </c>
      <c r="B144" s="18">
        <f t="shared" ref="B144:B147" si="5">D143/1000</f>
        <v>16.033831336490692</v>
      </c>
      <c r="C144" s="16">
        <f t="shared" si="3"/>
        <v>0.47604363308788455</v>
      </c>
      <c r="D144" s="11">
        <f t="shared" si="4"/>
        <v>16033.832073806201</v>
      </c>
    </row>
    <row r="145" spans="1:5" x14ac:dyDescent="0.25">
      <c r="A145" s="3">
        <v>8</v>
      </c>
      <c r="B145" s="18">
        <f t="shared" si="5"/>
        <v>16.033832073806202</v>
      </c>
      <c r="C145" s="16">
        <f t="shared" si="3"/>
        <v>0.47604360899375842</v>
      </c>
      <c r="D145" s="11">
        <f t="shared" si="4"/>
        <v>16033.832024919811</v>
      </c>
    </row>
    <row r="146" spans="1:5" x14ac:dyDescent="0.25">
      <c r="A146" s="3">
        <v>9</v>
      </c>
      <c r="B146" s="18">
        <f t="shared" si="5"/>
        <v>16.033832024919811</v>
      </c>
      <c r="C146" s="16">
        <f t="shared" si="3"/>
        <v>0.47604361059127653</v>
      </c>
      <c r="D146" s="11">
        <f t="shared" si="4"/>
        <v>16033.832028161138</v>
      </c>
    </row>
    <row r="147" spans="1:5" x14ac:dyDescent="0.25">
      <c r="A147" s="3">
        <v>10</v>
      </c>
      <c r="B147" s="18">
        <f t="shared" si="5"/>
        <v>16.033832028161136</v>
      </c>
      <c r="C147" s="16">
        <f t="shared" si="3"/>
        <v>0.47604361048535593</v>
      </c>
      <c r="D147" s="11">
        <f t="shared" si="4"/>
        <v>16033.832027946224</v>
      </c>
    </row>
    <row r="149" spans="1:5" x14ac:dyDescent="0.25">
      <c r="A149" s="30" t="s">
        <v>152</v>
      </c>
      <c r="B149" s="30"/>
      <c r="C149" s="31"/>
      <c r="D149" s="30">
        <f>D147/1000</f>
        <v>16.033832027946225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13.225390818938815</v>
      </c>
      <c r="C152" s="28">
        <f>IF(F123=TRUE,D149,MIN(D149,D123))</f>
        <v>13.225390818938815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3"/>
  <sheetViews>
    <sheetView zoomScale="85" zoomScaleNormal="85" workbookViewId="0">
      <selection activeCell="G13" sqref="G1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Screen'!F12</f>
        <v>170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Screen'!G12</f>
        <v>453.06225599999999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Screen'!H12</f>
        <v>392.67617799999999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215500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0.22073999999999999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0.43036999999999997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422.86921699999999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21.856315096785004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1206780.4121240876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109574.41317320002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127142.23291535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118358.32304427502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123487.44968665933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246.61575516508705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273.39168003736643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285.19604667113299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1.3011778529668035E-5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9.926407157357291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2947241.8242218252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77518494.252853379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387212941.76602751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445820731.85718691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46.134573128271569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1.6095731282715704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8.3168340290857206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1.6095731282715704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1410063403.8628249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7976339273.6626492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1397601062.6584606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8008672755.8445005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6642663160.3932877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25435339656.421722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45.730130858343493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27.892971135135834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12.004068690407168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1.2804240810512204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23.024296690409948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1.3849335957345235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15.692539082246835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15.692539082246835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46.134573128271569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4464.6581703742968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1220600.3979911834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662795.85086629284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1.3570531675840842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843750.29801793606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13590.366014584855</v>
      </c>
    </row>
    <row r="113" spans="1:6" x14ac:dyDescent="0.25">
      <c r="A113" s="3">
        <v>2</v>
      </c>
      <c r="B113" s="18">
        <f>D112/1000</f>
        <v>13.590366014584855</v>
      </c>
      <c r="C113" s="16">
        <f>(1-B113/$C$80)</f>
        <v>0.51276735817269992</v>
      </c>
      <c r="D113" s="11">
        <f t="shared" si="1"/>
        <v>12055.794632231597</v>
      </c>
    </row>
    <row r="114" spans="1:6" x14ac:dyDescent="0.25">
      <c r="A114" s="3">
        <v>3</v>
      </c>
      <c r="B114" s="18">
        <f>D113/1000</f>
        <v>12.055794632231597</v>
      </c>
      <c r="C114" s="16">
        <f t="shared" si="0"/>
        <v>0.56778377700160743</v>
      </c>
      <c r="D114" s="11">
        <f t="shared" si="1"/>
        <v>12332.736330060752</v>
      </c>
    </row>
    <row r="115" spans="1:6" x14ac:dyDescent="0.25">
      <c r="A115" s="3">
        <v>4</v>
      </c>
      <c r="B115" s="18">
        <f t="shared" ref="B115:B121" si="2">D114/1000</f>
        <v>12.332736330060753</v>
      </c>
      <c r="C115" s="16">
        <f t="shared" si="0"/>
        <v>0.55785504992239354</v>
      </c>
      <c r="D115" s="11">
        <f t="shared" si="1"/>
        <v>12285.919668862765</v>
      </c>
    </row>
    <row r="116" spans="1:6" x14ac:dyDescent="0.25">
      <c r="A116" s="3">
        <v>5</v>
      </c>
      <c r="B116" s="18">
        <f t="shared" si="2"/>
        <v>12.285919668862766</v>
      </c>
      <c r="C116" s="16">
        <f t="shared" si="0"/>
        <v>0.55953348930309521</v>
      </c>
      <c r="D116" s="11">
        <f t="shared" si="1"/>
        <v>12293.925391632309</v>
      </c>
    </row>
    <row r="117" spans="1:6" x14ac:dyDescent="0.25">
      <c r="A117" s="3">
        <v>6</v>
      </c>
      <c r="B117" s="18">
        <f t="shared" si="2"/>
        <v>12.293925391632309</v>
      </c>
      <c r="C117" s="16">
        <f t="shared" si="0"/>
        <v>0.55924647352658441</v>
      </c>
      <c r="D117" s="11">
        <f t="shared" si="1"/>
        <v>12292.559068558137</v>
      </c>
    </row>
    <row r="118" spans="1:6" x14ac:dyDescent="0.25">
      <c r="A118" s="3">
        <v>7</v>
      </c>
      <c r="B118" s="18">
        <f t="shared" si="2"/>
        <v>12.292559068558138</v>
      </c>
      <c r="C118" s="16">
        <f t="shared" si="0"/>
        <v>0.55929545802047542</v>
      </c>
      <c r="D118" s="11">
        <f t="shared" si="1"/>
        <v>12292.792334332955</v>
      </c>
    </row>
    <row r="119" spans="1:6" x14ac:dyDescent="0.25">
      <c r="A119" s="3">
        <v>8</v>
      </c>
      <c r="B119" s="18">
        <f t="shared" si="2"/>
        <v>12.292792334332955</v>
      </c>
      <c r="C119" s="16">
        <f t="shared" si="0"/>
        <v>0.55928709513314845</v>
      </c>
      <c r="D119" s="11">
        <f t="shared" si="1"/>
        <v>12292.752512253626</v>
      </c>
    </row>
    <row r="120" spans="1:6" x14ac:dyDescent="0.25">
      <c r="A120" s="3">
        <v>9</v>
      </c>
      <c r="B120" s="18">
        <f t="shared" si="2"/>
        <v>12.292752512253626</v>
      </c>
      <c r="C120" s="16">
        <f t="shared" si="0"/>
        <v>0.55928852280749464</v>
      </c>
      <c r="D120" s="11">
        <f t="shared" si="1"/>
        <v>12292.759310565152</v>
      </c>
    </row>
    <row r="121" spans="1:6" x14ac:dyDescent="0.25">
      <c r="A121" s="3">
        <v>10</v>
      </c>
      <c r="B121" s="18">
        <f t="shared" si="2"/>
        <v>12.292759310565152</v>
      </c>
      <c r="C121" s="16">
        <f t="shared" si="0"/>
        <v>0.55928827907901213</v>
      </c>
      <c r="D121" s="11">
        <f t="shared" si="1"/>
        <v>12292.75814997877</v>
      </c>
    </row>
    <row r="123" spans="1:6" x14ac:dyDescent="0.25">
      <c r="A123" s="30" t="s">
        <v>153</v>
      </c>
      <c r="B123" s="30"/>
      <c r="C123" s="31"/>
      <c r="D123" s="30">
        <f>D121/1000</f>
        <v>12.29275814997877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1101055.0462408331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662795.85086629284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1.288886352991004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788705.14845857129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15205.580243059587</v>
      </c>
    </row>
    <row r="139" spans="1:4" x14ac:dyDescent="0.25">
      <c r="A139" s="3">
        <v>2</v>
      </c>
      <c r="B139" s="18">
        <f>D138/1000</f>
        <v>15.205580243059586</v>
      </c>
      <c r="C139" s="16">
        <f t="shared" si="3"/>
        <v>0.45485978638160818</v>
      </c>
      <c r="D139" s="11">
        <f t="shared" si="4"/>
        <v>14660.357125982748</v>
      </c>
    </row>
    <row r="140" spans="1:4" x14ac:dyDescent="0.25">
      <c r="A140" s="3">
        <v>3</v>
      </c>
      <c r="B140" s="18">
        <f>D139/1000</f>
        <v>14.660357125982747</v>
      </c>
      <c r="C140" s="16">
        <f t="shared" si="3"/>
        <v>0.47440675806975652</v>
      </c>
      <c r="D140" s="11">
        <f t="shared" si="4"/>
        <v>14700.196711097662</v>
      </c>
    </row>
    <row r="141" spans="1:4" x14ac:dyDescent="0.25">
      <c r="A141" s="3">
        <v>4</v>
      </c>
      <c r="B141" s="18">
        <f>D140/1000</f>
        <v>14.700196711097663</v>
      </c>
      <c r="C141" s="16">
        <f t="shared" si="3"/>
        <v>0.47297845611791711</v>
      </c>
      <c r="D141" s="11">
        <f t="shared" si="4"/>
        <v>14697.390067887427</v>
      </c>
    </row>
    <row r="142" spans="1:4" x14ac:dyDescent="0.25">
      <c r="A142" s="3">
        <v>5</v>
      </c>
      <c r="B142" s="18">
        <f>D141/1000</f>
        <v>14.697390067887428</v>
      </c>
      <c r="C142" s="16">
        <f t="shared" si="3"/>
        <v>0.4730790779984847</v>
      </c>
      <c r="D142" s="11">
        <f t="shared" si="4"/>
        <v>14697.588311710653</v>
      </c>
    </row>
    <row r="143" spans="1:4" x14ac:dyDescent="0.25">
      <c r="A143" s="3">
        <v>6</v>
      </c>
      <c r="B143" s="18">
        <f>D142/1000</f>
        <v>14.697588311710653</v>
      </c>
      <c r="C143" s="16">
        <f t="shared" si="3"/>
        <v>0.47307197069455975</v>
      </c>
      <c r="D143" s="11">
        <f t="shared" si="4"/>
        <v>14697.574311592251</v>
      </c>
    </row>
    <row r="144" spans="1:4" ht="18.75" customHeight="1" x14ac:dyDescent="0.25">
      <c r="A144" s="3">
        <v>7</v>
      </c>
      <c r="B144" s="18">
        <f t="shared" ref="B144:B147" si="5">D143/1000</f>
        <v>14.69757431159225</v>
      </c>
      <c r="C144" s="16">
        <f t="shared" si="3"/>
        <v>0.47307247261736807</v>
      </c>
      <c r="D144" s="11">
        <f t="shared" si="4"/>
        <v>14697.575300303402</v>
      </c>
    </row>
    <row r="145" spans="1:5" x14ac:dyDescent="0.25">
      <c r="A145" s="3">
        <v>8</v>
      </c>
      <c r="B145" s="18">
        <f t="shared" si="5"/>
        <v>14.697575300303402</v>
      </c>
      <c r="C145" s="16">
        <f t="shared" si="3"/>
        <v>0.47307243717076231</v>
      </c>
      <c r="D145" s="11">
        <f t="shared" si="4"/>
        <v>14697.575230479075</v>
      </c>
    </row>
    <row r="146" spans="1:5" x14ac:dyDescent="0.25">
      <c r="A146" s="3">
        <v>9</v>
      </c>
      <c r="B146" s="18">
        <f t="shared" si="5"/>
        <v>14.697575230479075</v>
      </c>
      <c r="C146" s="16">
        <f t="shared" si="3"/>
        <v>0.47307243967405699</v>
      </c>
      <c r="D146" s="11">
        <f t="shared" si="4"/>
        <v>14697.575235410177</v>
      </c>
    </row>
    <row r="147" spans="1:5" x14ac:dyDescent="0.25">
      <c r="A147" s="3">
        <v>10</v>
      </c>
      <c r="B147" s="18">
        <f t="shared" si="5"/>
        <v>14.697575235410177</v>
      </c>
      <c r="C147" s="16">
        <f t="shared" si="3"/>
        <v>0.4730724394972704</v>
      </c>
      <c r="D147" s="11">
        <f t="shared" si="4"/>
        <v>14697.575235061937</v>
      </c>
    </row>
    <row r="149" spans="1:5" x14ac:dyDescent="0.25">
      <c r="A149" s="30" t="s">
        <v>152</v>
      </c>
      <c r="B149" s="30"/>
      <c r="C149" s="31"/>
      <c r="D149" s="30">
        <f>D147/1000</f>
        <v>14.697575235061937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12.29275814997877</v>
      </c>
      <c r="C152" s="28">
        <f>IF(F123=TRUE,D149,MIN(D149,D123))</f>
        <v>12.29275814997877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Input-Output Screen</vt:lpstr>
      <vt:lpstr>Sheet7</vt:lpstr>
      <vt:lpstr>DSM-AS4600 (SA, 2005)-Ambient</vt:lpstr>
      <vt:lpstr>DSM -Temp (Sheet 1) </vt:lpstr>
      <vt:lpstr>DSM -Temp (Sheet 2)</vt:lpstr>
      <vt:lpstr>DSM -Temp (Sheet 3)</vt:lpstr>
      <vt:lpstr>DSM -Temp (Sheet 4)</vt:lpstr>
      <vt:lpstr>DSM -Temp (Sheet 5)</vt:lpstr>
      <vt:lpstr>DSM -Temp (Sheet 6)</vt:lpstr>
      <vt:lpstr>DSM -Temp (Sheet 7)</vt:lpstr>
      <vt:lpstr>DSM -Temp (Sheet 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2020-03-19T10:59:58Z</dcterms:modified>
</cp:coreProperties>
</file>