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467FEFC9-C1E6-4188-B892-5AE2D1963BA5}" xr6:coauthVersionLast="44" xr6:coauthVersionMax="44" xr10:uidLastSave="{00000000-0000-0000-0000-000000000000}"/>
  <bookViews>
    <workbookView xWindow="-120" yWindow="-120" windowWidth="29040" windowHeight="15840" tabRatio="900" xr2:uid="{00000000-000D-0000-FFFF-FFFF00000000}"/>
  </bookViews>
  <sheets>
    <sheet name="Input-Output Screen" sheetId="9" r:id="rId1"/>
    <sheet name="Sheet7" sheetId="16" r:id="rId2"/>
    <sheet name="DSM-AS4600 (SA, 2005)-Ambient" sheetId="8" r:id="rId3"/>
    <sheet name="DSM -Temp (Sheet 1) " sheetId="7" r:id="rId4"/>
    <sheet name="DSM -Temp (Sheet 2)" sheetId="10" r:id="rId5"/>
    <sheet name="DSM -Temp (Sheet 3)" sheetId="11" r:id="rId6"/>
    <sheet name="DSM -Temp (Sheet 4)" sheetId="12" r:id="rId7"/>
    <sheet name="DSM -Temp (Sheet 5)" sheetId="13" r:id="rId8"/>
    <sheet name="DSM -Temp (Sheet 6)" sheetId="14" r:id="rId9"/>
    <sheet name="DSM -Temp (Sheet 7)" sheetId="17" r:id="rId10"/>
    <sheet name="DSM -Temp (Sheet 8)" sheetId="18" r:id="rId11"/>
    <sheet name="DSM -Temp (Sheet 9)" sheetId="19" r:id="rId12"/>
    <sheet name="DSM -Temp (Sheet 10)" sheetId="2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20" l="1"/>
  <c r="C13" i="20"/>
  <c r="C2" i="20"/>
  <c r="C56" i="20"/>
  <c r="C25" i="20"/>
  <c r="C22" i="20"/>
  <c r="C18" i="20"/>
  <c r="C44" i="20" s="1"/>
  <c r="C17" i="20"/>
  <c r="C39" i="20" s="1"/>
  <c r="C45" i="20"/>
  <c r="C12" i="20"/>
  <c r="C11" i="20"/>
  <c r="C94" i="20" s="1"/>
  <c r="C10" i="20"/>
  <c r="C9" i="20"/>
  <c r="C8" i="20"/>
  <c r="C6" i="20"/>
  <c r="C5" i="20"/>
  <c r="C29" i="20" s="1"/>
  <c r="C35" i="20" s="1"/>
  <c r="C14" i="19"/>
  <c r="C13" i="19"/>
  <c r="C2" i="19"/>
  <c r="C14" i="18"/>
  <c r="C13" i="18"/>
  <c r="C44" i="18" s="1"/>
  <c r="C2" i="18"/>
  <c r="C17" i="18"/>
  <c r="C14" i="17"/>
  <c r="C13" i="17"/>
  <c r="C2" i="17"/>
  <c r="C14" i="14"/>
  <c r="C13" i="14"/>
  <c r="C2" i="14"/>
  <c r="C14" i="13"/>
  <c r="C13" i="13"/>
  <c r="C2" i="13"/>
  <c r="C56" i="19"/>
  <c r="C25" i="19"/>
  <c r="C22" i="19"/>
  <c r="C18" i="19"/>
  <c r="C44" i="19" s="1"/>
  <c r="C17" i="19"/>
  <c r="C45" i="19"/>
  <c r="C12" i="19"/>
  <c r="C11" i="19"/>
  <c r="C10" i="19"/>
  <c r="C9" i="19"/>
  <c r="C8" i="19"/>
  <c r="C6" i="19"/>
  <c r="C5" i="19"/>
  <c r="C29" i="19" s="1"/>
  <c r="C35" i="19" s="1"/>
  <c r="C56" i="18"/>
  <c r="C29" i="18"/>
  <c r="C35" i="18" s="1"/>
  <c r="C25" i="18"/>
  <c r="C22" i="18"/>
  <c r="C18" i="18"/>
  <c r="C45" i="18"/>
  <c r="C12" i="18"/>
  <c r="C11" i="18"/>
  <c r="C10" i="18"/>
  <c r="C9" i="18"/>
  <c r="C8" i="18"/>
  <c r="C6" i="18"/>
  <c r="C5" i="18"/>
  <c r="C14" i="12"/>
  <c r="C13" i="12"/>
  <c r="C2" i="12"/>
  <c r="C14" i="11"/>
  <c r="C13" i="11"/>
  <c r="C2" i="11"/>
  <c r="C30" i="20" l="1"/>
  <c r="C46" i="20" s="1"/>
  <c r="C55" i="20"/>
  <c r="C47" i="20"/>
  <c r="C79" i="20" s="1"/>
  <c r="C34" i="20"/>
  <c r="C33" i="20"/>
  <c r="C40" i="20"/>
  <c r="C51" i="20"/>
  <c r="C52" i="20" s="1"/>
  <c r="C41" i="20"/>
  <c r="C42" i="20" s="1"/>
  <c r="C30" i="19"/>
  <c r="C46" i="19" s="1"/>
  <c r="C39" i="19"/>
  <c r="C47" i="19"/>
  <c r="C79" i="19" s="1"/>
  <c r="C55" i="19"/>
  <c r="C51" i="19"/>
  <c r="C52" i="19" s="1"/>
  <c r="C33" i="19"/>
  <c r="C34" i="19" s="1"/>
  <c r="C40" i="19"/>
  <c r="C94" i="19"/>
  <c r="C41" i="19"/>
  <c r="C102" i="19" s="1"/>
  <c r="C128" i="19" s="1"/>
  <c r="C30" i="18"/>
  <c r="C39" i="18"/>
  <c r="C33" i="18"/>
  <c r="C34" i="18" s="1"/>
  <c r="C40" i="18"/>
  <c r="C94" i="18"/>
  <c r="C56" i="17"/>
  <c r="C25" i="17"/>
  <c r="C22" i="17"/>
  <c r="C18" i="17"/>
  <c r="C17" i="17"/>
  <c r="C12" i="17"/>
  <c r="C11" i="17"/>
  <c r="C10" i="17"/>
  <c r="C9" i="17"/>
  <c r="C8" i="17"/>
  <c r="C6" i="17"/>
  <c r="C5" i="17"/>
  <c r="C81" i="20" l="1"/>
  <c r="C58" i="20"/>
  <c r="C57" i="20"/>
  <c r="C59" i="20"/>
  <c r="C102" i="20"/>
  <c r="C128" i="20" s="1"/>
  <c r="C81" i="19"/>
  <c r="C57" i="19"/>
  <c r="C58" i="19"/>
  <c r="C59" i="19"/>
  <c r="C42" i="19"/>
  <c r="C46" i="18"/>
  <c r="C41" i="18"/>
  <c r="C42" i="18" s="1"/>
  <c r="C51" i="18"/>
  <c r="C52" i="18" s="1"/>
  <c r="C55" i="18"/>
  <c r="C58" i="18"/>
  <c r="C57" i="18"/>
  <c r="C29" i="17"/>
  <c r="C35" i="17" s="1"/>
  <c r="C33" i="17"/>
  <c r="C44" i="17"/>
  <c r="C45" i="17"/>
  <c r="C40" i="17"/>
  <c r="C58" i="17" s="1"/>
  <c r="C34" i="17"/>
  <c r="C30" i="17"/>
  <c r="C39" i="17"/>
  <c r="C94" i="17"/>
  <c r="Q12" i="9"/>
  <c r="Q11" i="9"/>
  <c r="C2" i="10"/>
  <c r="C56" i="14"/>
  <c r="C25" i="14"/>
  <c r="C22" i="14"/>
  <c r="C18" i="14"/>
  <c r="C17" i="14"/>
  <c r="C12" i="14"/>
  <c r="C11" i="14"/>
  <c r="C10" i="14"/>
  <c r="C9" i="14"/>
  <c r="C8" i="14"/>
  <c r="C6" i="14"/>
  <c r="C5" i="14"/>
  <c r="C56" i="13"/>
  <c r="C25" i="13"/>
  <c r="C22" i="13"/>
  <c r="C18" i="13"/>
  <c r="C17" i="13"/>
  <c r="C12" i="13"/>
  <c r="C11" i="13"/>
  <c r="C10" i="13"/>
  <c r="C9" i="13"/>
  <c r="C8" i="13"/>
  <c r="C6" i="13"/>
  <c r="C5" i="13"/>
  <c r="C56" i="12"/>
  <c r="C25" i="12"/>
  <c r="C22" i="12"/>
  <c r="C18" i="12"/>
  <c r="C17" i="12"/>
  <c r="C12" i="12"/>
  <c r="C11" i="12"/>
  <c r="C94" i="12" s="1"/>
  <c r="C10" i="12"/>
  <c r="C9" i="12"/>
  <c r="C8" i="12"/>
  <c r="C6" i="12"/>
  <c r="C5" i="12"/>
  <c r="C56" i="11"/>
  <c r="C25" i="11"/>
  <c r="C22" i="11"/>
  <c r="C18" i="11"/>
  <c r="C17" i="11"/>
  <c r="C12" i="11"/>
  <c r="C11" i="11"/>
  <c r="C94" i="11" s="1"/>
  <c r="C10" i="11"/>
  <c r="C9" i="11"/>
  <c r="C8" i="11"/>
  <c r="C6" i="11"/>
  <c r="C5" i="11"/>
  <c r="C14" i="10"/>
  <c r="C13" i="10"/>
  <c r="C56" i="10"/>
  <c r="C25" i="10"/>
  <c r="C22" i="10"/>
  <c r="C18" i="10"/>
  <c r="C17" i="10"/>
  <c r="C12" i="10"/>
  <c r="C11" i="10"/>
  <c r="C10" i="10"/>
  <c r="C9" i="10"/>
  <c r="C8" i="10"/>
  <c r="C6" i="10"/>
  <c r="C5" i="10"/>
  <c r="C60" i="20" l="1"/>
  <c r="C95" i="20" s="1"/>
  <c r="C72" i="20"/>
  <c r="C60" i="19"/>
  <c r="C59" i="18"/>
  <c r="C60" i="18" s="1"/>
  <c r="C73" i="18" s="1"/>
  <c r="C102" i="18"/>
  <c r="C128" i="18" s="1"/>
  <c r="C47" i="18"/>
  <c r="C79" i="18" s="1"/>
  <c r="C81" i="18"/>
  <c r="C33" i="10"/>
  <c r="C34" i="10" s="1"/>
  <c r="C29" i="10"/>
  <c r="C35" i="10" s="1"/>
  <c r="C57" i="17"/>
  <c r="C55" i="17"/>
  <c r="C46" i="17"/>
  <c r="C41" i="17"/>
  <c r="C51" i="17"/>
  <c r="C52" i="17" s="1"/>
  <c r="C29" i="14"/>
  <c r="C35" i="14" s="1"/>
  <c r="C45" i="14"/>
  <c r="C29" i="13"/>
  <c r="C33" i="13"/>
  <c r="C34" i="13" s="1"/>
  <c r="C39" i="11"/>
  <c r="C55" i="11" s="1"/>
  <c r="C44" i="13"/>
  <c r="C44" i="10"/>
  <c r="C45" i="11"/>
  <c r="C45" i="13"/>
  <c r="C45" i="12"/>
  <c r="C45" i="10"/>
  <c r="C39" i="12"/>
  <c r="C55" i="12" s="1"/>
  <c r="C44" i="14"/>
  <c r="C29" i="11"/>
  <c r="C35" i="11" s="1"/>
  <c r="C29" i="12"/>
  <c r="C35" i="12" s="1"/>
  <c r="C40" i="10"/>
  <c r="C58" i="10" s="1"/>
  <c r="C44" i="11"/>
  <c r="C35" i="13"/>
  <c r="C40" i="14"/>
  <c r="C57" i="14" s="1"/>
  <c r="C40" i="13"/>
  <c r="C58" i="13" s="1"/>
  <c r="C30" i="12"/>
  <c r="C46" i="12" s="1"/>
  <c r="C44" i="12"/>
  <c r="C30" i="14"/>
  <c r="C39" i="14"/>
  <c r="C33" i="14"/>
  <c r="C34" i="14" s="1"/>
  <c r="C94" i="14"/>
  <c r="C30" i="13"/>
  <c r="C39" i="13"/>
  <c r="C94" i="13"/>
  <c r="C33" i="12"/>
  <c r="C34" i="12" s="1"/>
  <c r="C40" i="12"/>
  <c r="C30" i="11"/>
  <c r="C33" i="11"/>
  <c r="C34" i="11" s="1"/>
  <c r="C40" i="11"/>
  <c r="C30" i="10"/>
  <c r="C39" i="10"/>
  <c r="C94" i="10"/>
  <c r="C10" i="8"/>
  <c r="C73" i="20" l="1"/>
  <c r="C69" i="20"/>
  <c r="C71" i="20"/>
  <c r="C70" i="20"/>
  <c r="C75" i="20" s="1"/>
  <c r="C61" i="20"/>
  <c r="C64" i="20" s="1"/>
  <c r="C95" i="19"/>
  <c r="C61" i="19"/>
  <c r="C70" i="19"/>
  <c r="C69" i="19"/>
  <c r="C72" i="19"/>
  <c r="C73" i="19"/>
  <c r="C71" i="19"/>
  <c r="C95" i="18"/>
  <c r="C61" i="18"/>
  <c r="C72" i="18"/>
  <c r="C69" i="18"/>
  <c r="C70" i="18"/>
  <c r="C71" i="18"/>
  <c r="C59" i="17"/>
  <c r="C102" i="17"/>
  <c r="C128" i="17" s="1"/>
  <c r="C47" i="17"/>
  <c r="C79" i="17" s="1"/>
  <c r="C42" i="17"/>
  <c r="C60" i="17" s="1"/>
  <c r="C81" i="17"/>
  <c r="C57" i="10"/>
  <c r="C47" i="12"/>
  <c r="C79" i="12" s="1"/>
  <c r="C51" i="12"/>
  <c r="C52" i="12" s="1"/>
  <c r="C41" i="12"/>
  <c r="C42" i="12" s="1"/>
  <c r="C58" i="14"/>
  <c r="C57" i="13"/>
  <c r="C46" i="14"/>
  <c r="C41" i="14"/>
  <c r="C42" i="14" s="1"/>
  <c r="C51" i="14"/>
  <c r="C52" i="14" s="1"/>
  <c r="C55" i="14"/>
  <c r="C55" i="13"/>
  <c r="C46" i="13"/>
  <c r="C41" i="13"/>
  <c r="C51" i="13"/>
  <c r="C52" i="13" s="1"/>
  <c r="C58" i="12"/>
  <c r="C57" i="12"/>
  <c r="C58" i="11"/>
  <c r="C57" i="11"/>
  <c r="C51" i="11"/>
  <c r="C52" i="11" s="1"/>
  <c r="C41" i="11"/>
  <c r="C46" i="11"/>
  <c r="C55" i="10"/>
  <c r="C46" i="10"/>
  <c r="C41" i="10"/>
  <c r="C42" i="10" s="1"/>
  <c r="C51" i="10"/>
  <c r="C52" i="10" s="1"/>
  <c r="C21" i="8"/>
  <c r="C75" i="19" l="1"/>
  <c r="C63" i="20"/>
  <c r="C80" i="20"/>
  <c r="C97" i="20"/>
  <c r="C64" i="19"/>
  <c r="C63" i="19"/>
  <c r="C80" i="19"/>
  <c r="C97" i="19"/>
  <c r="C64" i="18"/>
  <c r="C63" i="18"/>
  <c r="C75" i="18"/>
  <c r="C95" i="17"/>
  <c r="C61" i="17"/>
  <c r="C72" i="17"/>
  <c r="C71" i="17"/>
  <c r="C69" i="17"/>
  <c r="C70" i="17"/>
  <c r="C73" i="17"/>
  <c r="C81" i="12"/>
  <c r="C102" i="12"/>
  <c r="C128" i="12" s="1"/>
  <c r="C59" i="12"/>
  <c r="C60" i="12" s="1"/>
  <c r="C71" i="12" s="1"/>
  <c r="C59" i="14"/>
  <c r="C60" i="14" s="1"/>
  <c r="C102" i="14"/>
  <c r="C128" i="14" s="1"/>
  <c r="C47" i="14"/>
  <c r="C79" i="14" s="1"/>
  <c r="C81" i="14"/>
  <c r="C59" i="13"/>
  <c r="C102" i="13"/>
  <c r="C128" i="13" s="1"/>
  <c r="C47" i="13"/>
  <c r="C79" i="13" s="1"/>
  <c r="C42" i="13"/>
  <c r="C81" i="13"/>
  <c r="C59" i="11"/>
  <c r="C47" i="11"/>
  <c r="C79" i="11" s="1"/>
  <c r="C42" i="11"/>
  <c r="C81" i="11"/>
  <c r="C102" i="11"/>
  <c r="C128" i="11" s="1"/>
  <c r="C59" i="10"/>
  <c r="C60" i="10" s="1"/>
  <c r="C102" i="10"/>
  <c r="C128" i="10" s="1"/>
  <c r="C47" i="10"/>
  <c r="C79" i="10" s="1"/>
  <c r="C81" i="10"/>
  <c r="C56" i="7"/>
  <c r="C100" i="20" l="1"/>
  <c r="C105" i="20" s="1"/>
  <c r="C106" i="20" s="1"/>
  <c r="C126" i="20"/>
  <c r="C131" i="20" s="1"/>
  <c r="C132" i="20" s="1"/>
  <c r="C112" i="20"/>
  <c r="C138" i="20"/>
  <c r="C84" i="20"/>
  <c r="C85" i="20" s="1"/>
  <c r="C100" i="19"/>
  <c r="C105" i="19" s="1"/>
  <c r="C106" i="19" s="1"/>
  <c r="C126" i="19"/>
  <c r="C131" i="19" s="1"/>
  <c r="C132" i="19" s="1"/>
  <c r="C138" i="19"/>
  <c r="C112" i="19"/>
  <c r="C84" i="19"/>
  <c r="C85" i="19" s="1"/>
  <c r="C80" i="18"/>
  <c r="C97" i="18"/>
  <c r="C64" i="17"/>
  <c r="C63" i="17"/>
  <c r="C75" i="17"/>
  <c r="C61" i="12"/>
  <c r="C63" i="12" s="1"/>
  <c r="C70" i="12"/>
  <c r="C60" i="13"/>
  <c r="C95" i="13" s="1"/>
  <c r="C72" i="12"/>
  <c r="C95" i="12"/>
  <c r="C60" i="11"/>
  <c r="C95" i="11" s="1"/>
  <c r="C69" i="12"/>
  <c r="C73" i="12"/>
  <c r="C95" i="14"/>
  <c r="C61" i="14"/>
  <c r="C72" i="14"/>
  <c r="C71" i="14"/>
  <c r="C70" i="14"/>
  <c r="C69" i="14"/>
  <c r="C73" i="14"/>
  <c r="C95" i="10"/>
  <c r="C61" i="10"/>
  <c r="C72" i="10"/>
  <c r="C71" i="10"/>
  <c r="C70" i="10"/>
  <c r="C69" i="10"/>
  <c r="C73" i="10"/>
  <c r="C14" i="7"/>
  <c r="C13" i="7"/>
  <c r="C71" i="11" l="1"/>
  <c r="C88" i="20"/>
  <c r="C89" i="20" s="1"/>
  <c r="C91" i="20" s="1"/>
  <c r="C71" i="13"/>
  <c r="C88" i="19"/>
  <c r="C89" i="19" s="1"/>
  <c r="C91" i="19" s="1"/>
  <c r="C100" i="18"/>
  <c r="C105" i="18" s="1"/>
  <c r="C106" i="18" s="1"/>
  <c r="C126" i="18"/>
  <c r="C131" i="18" s="1"/>
  <c r="C132" i="18" s="1"/>
  <c r="C112" i="18"/>
  <c r="C138" i="18"/>
  <c r="C84" i="18"/>
  <c r="C85" i="18" s="1"/>
  <c r="C64" i="12"/>
  <c r="C80" i="17"/>
  <c r="C97" i="17"/>
  <c r="C73" i="13"/>
  <c r="C72" i="13"/>
  <c r="C61" i="11"/>
  <c r="C64" i="11" s="1"/>
  <c r="C70" i="13"/>
  <c r="C61" i="13"/>
  <c r="C63" i="13" s="1"/>
  <c r="C69" i="13"/>
  <c r="C75" i="12"/>
  <c r="C80" i="12" s="1"/>
  <c r="C73" i="11"/>
  <c r="C70" i="11"/>
  <c r="C69" i="11"/>
  <c r="C72" i="11"/>
  <c r="C75" i="14"/>
  <c r="C64" i="14"/>
  <c r="C63" i="14"/>
  <c r="C64" i="10"/>
  <c r="C63" i="10"/>
  <c r="C75" i="10"/>
  <c r="C97" i="12" l="1"/>
  <c r="D138" i="20"/>
  <c r="B139" i="20" s="1"/>
  <c r="C139" i="20" s="1"/>
  <c r="D139" i="20" s="1"/>
  <c r="B140" i="20" s="1"/>
  <c r="C140" i="20" s="1"/>
  <c r="D140" i="20" s="1"/>
  <c r="B141" i="20" s="1"/>
  <c r="C141" i="20" s="1"/>
  <c r="D141" i="20" s="1"/>
  <c r="B142" i="20" s="1"/>
  <c r="C142" i="20" s="1"/>
  <c r="D142" i="20" s="1"/>
  <c r="B143" i="20" s="1"/>
  <c r="C143" i="20" s="1"/>
  <c r="D143" i="20" s="1"/>
  <c r="B144" i="20" s="1"/>
  <c r="C144" i="20" s="1"/>
  <c r="D144" i="20" s="1"/>
  <c r="B145" i="20" s="1"/>
  <c r="C145" i="20" s="1"/>
  <c r="D145" i="20" s="1"/>
  <c r="B146" i="20" s="1"/>
  <c r="C146" i="20" s="1"/>
  <c r="D146" i="20" s="1"/>
  <c r="B147" i="20" s="1"/>
  <c r="C147" i="20" s="1"/>
  <c r="D147" i="20" s="1"/>
  <c r="D149" i="20" s="1"/>
  <c r="D112" i="20"/>
  <c r="B113" i="20" s="1"/>
  <c r="C113" i="20" s="1"/>
  <c r="D113" i="20" s="1"/>
  <c r="B114" i="20" s="1"/>
  <c r="C114" i="20" s="1"/>
  <c r="D114" i="20" s="1"/>
  <c r="B115" i="20" s="1"/>
  <c r="C115" i="20" s="1"/>
  <c r="D115" i="20" s="1"/>
  <c r="B116" i="20" s="1"/>
  <c r="C116" i="20" s="1"/>
  <c r="D116" i="20" s="1"/>
  <c r="B117" i="20" s="1"/>
  <c r="C117" i="20" s="1"/>
  <c r="D117" i="20" s="1"/>
  <c r="B118" i="20" s="1"/>
  <c r="C118" i="20" s="1"/>
  <c r="D118" i="20" s="1"/>
  <c r="B119" i="20" s="1"/>
  <c r="C119" i="20" s="1"/>
  <c r="D119" i="20" s="1"/>
  <c r="B120" i="20" s="1"/>
  <c r="C120" i="20" s="1"/>
  <c r="D120" i="20" s="1"/>
  <c r="B121" i="20" s="1"/>
  <c r="C121" i="20" s="1"/>
  <c r="D121" i="20" s="1"/>
  <c r="D123" i="20" s="1"/>
  <c r="F123" i="20" s="1"/>
  <c r="D138" i="19"/>
  <c r="B139" i="19" s="1"/>
  <c r="C139" i="19" s="1"/>
  <c r="D139" i="19" s="1"/>
  <c r="B140" i="19" s="1"/>
  <c r="C140" i="19" s="1"/>
  <c r="D140" i="19" s="1"/>
  <c r="B141" i="19" s="1"/>
  <c r="C141" i="19" s="1"/>
  <c r="D141" i="19" s="1"/>
  <c r="B142" i="19" s="1"/>
  <c r="C142" i="19" s="1"/>
  <c r="D142" i="19" s="1"/>
  <c r="B143" i="19" s="1"/>
  <c r="C143" i="19" s="1"/>
  <c r="D143" i="19" s="1"/>
  <c r="B144" i="19" s="1"/>
  <c r="C144" i="19" s="1"/>
  <c r="D144" i="19" s="1"/>
  <c r="B145" i="19" s="1"/>
  <c r="C145" i="19" s="1"/>
  <c r="D145" i="19" s="1"/>
  <c r="B146" i="19" s="1"/>
  <c r="C146" i="19" s="1"/>
  <c r="D146" i="19" s="1"/>
  <c r="B147" i="19" s="1"/>
  <c r="C147" i="19" s="1"/>
  <c r="D147" i="19" s="1"/>
  <c r="D149" i="19" s="1"/>
  <c r="D112" i="19"/>
  <c r="B113" i="19" s="1"/>
  <c r="C113" i="19" s="1"/>
  <c r="D113" i="19" s="1"/>
  <c r="B114" i="19" s="1"/>
  <c r="C114" i="19" s="1"/>
  <c r="D114" i="19" s="1"/>
  <c r="B115" i="19" s="1"/>
  <c r="C115" i="19" s="1"/>
  <c r="D115" i="19" s="1"/>
  <c r="B116" i="19" s="1"/>
  <c r="C116" i="19" s="1"/>
  <c r="D116" i="19" s="1"/>
  <c r="B117" i="19" s="1"/>
  <c r="C117" i="19" s="1"/>
  <c r="D117" i="19" s="1"/>
  <c r="B118" i="19" s="1"/>
  <c r="C118" i="19" s="1"/>
  <c r="D118" i="19" s="1"/>
  <c r="B119" i="19" s="1"/>
  <c r="C119" i="19" s="1"/>
  <c r="D119" i="19" s="1"/>
  <c r="B120" i="19" s="1"/>
  <c r="C120" i="19" s="1"/>
  <c r="D120" i="19" s="1"/>
  <c r="B121" i="19" s="1"/>
  <c r="C121" i="19" s="1"/>
  <c r="D121" i="19" s="1"/>
  <c r="D123" i="19" s="1"/>
  <c r="F123" i="19" s="1"/>
  <c r="C88" i="18"/>
  <c r="C89" i="18" s="1"/>
  <c r="C91" i="18" s="1"/>
  <c r="C64" i="13"/>
  <c r="C100" i="17"/>
  <c r="C105" i="17" s="1"/>
  <c r="C106" i="17" s="1"/>
  <c r="C126" i="17"/>
  <c r="C131" i="17" s="1"/>
  <c r="C132" i="17" s="1"/>
  <c r="C112" i="17"/>
  <c r="C138" i="17"/>
  <c r="C84" i="17"/>
  <c r="C85" i="17" s="1"/>
  <c r="C75" i="11"/>
  <c r="C97" i="11" s="1"/>
  <c r="C75" i="13"/>
  <c r="C97" i="13" s="1"/>
  <c r="C63" i="11"/>
  <c r="C80" i="14"/>
  <c r="C97" i="14"/>
  <c r="C126" i="12"/>
  <c r="C131" i="12" s="1"/>
  <c r="C132" i="12" s="1"/>
  <c r="C100" i="12"/>
  <c r="C105" i="12" s="1"/>
  <c r="C106" i="12" s="1"/>
  <c r="C112" i="12"/>
  <c r="C138" i="12"/>
  <c r="C84" i="12"/>
  <c r="C85" i="12" s="1"/>
  <c r="C80" i="10"/>
  <c r="C97" i="10"/>
  <c r="C20" i="8"/>
  <c r="C17" i="8"/>
  <c r="C16" i="8"/>
  <c r="C13" i="8"/>
  <c r="C12" i="8"/>
  <c r="C11" i="8"/>
  <c r="C9" i="8"/>
  <c r="C152" i="19" l="1"/>
  <c r="I15" i="9" s="1"/>
  <c r="C152" i="20"/>
  <c r="I16" i="9" s="1"/>
  <c r="B152" i="20"/>
  <c r="B152" i="19"/>
  <c r="D112" i="18"/>
  <c r="B113" i="18" s="1"/>
  <c r="C113" i="18" s="1"/>
  <c r="D113" i="18" s="1"/>
  <c r="B114" i="18" s="1"/>
  <c r="C114" i="18" s="1"/>
  <c r="D114" i="18" s="1"/>
  <c r="B115" i="18" s="1"/>
  <c r="C115" i="18" s="1"/>
  <c r="D115" i="18" s="1"/>
  <c r="B116" i="18" s="1"/>
  <c r="C116" i="18" s="1"/>
  <c r="D116" i="18" s="1"/>
  <c r="B117" i="18" s="1"/>
  <c r="C117" i="18" s="1"/>
  <c r="D117" i="18" s="1"/>
  <c r="B118" i="18" s="1"/>
  <c r="C118" i="18" s="1"/>
  <c r="D118" i="18" s="1"/>
  <c r="B119" i="18" s="1"/>
  <c r="C119" i="18" s="1"/>
  <c r="D119" i="18" s="1"/>
  <c r="B120" i="18" s="1"/>
  <c r="C120" i="18" s="1"/>
  <c r="D120" i="18" s="1"/>
  <c r="B121" i="18" s="1"/>
  <c r="C121" i="18" s="1"/>
  <c r="D121" i="18" s="1"/>
  <c r="D123" i="18" s="1"/>
  <c r="F123" i="18" s="1"/>
  <c r="D138" i="18"/>
  <c r="B139" i="18" s="1"/>
  <c r="C139" i="18" s="1"/>
  <c r="D139" i="18" s="1"/>
  <c r="B140" i="18" s="1"/>
  <c r="C140" i="18" s="1"/>
  <c r="D140" i="18" s="1"/>
  <c r="B141" i="18" s="1"/>
  <c r="C141" i="18" s="1"/>
  <c r="D141" i="18" s="1"/>
  <c r="B142" i="18" s="1"/>
  <c r="C142" i="18" s="1"/>
  <c r="D142" i="18" s="1"/>
  <c r="B143" i="18" s="1"/>
  <c r="C143" i="18" s="1"/>
  <c r="D143" i="18" s="1"/>
  <c r="B144" i="18" s="1"/>
  <c r="C144" i="18" s="1"/>
  <c r="D144" i="18" s="1"/>
  <c r="B145" i="18" s="1"/>
  <c r="C145" i="18" s="1"/>
  <c r="D145" i="18" s="1"/>
  <c r="B146" i="18" s="1"/>
  <c r="C146" i="18" s="1"/>
  <c r="D146" i="18" s="1"/>
  <c r="B147" i="18" s="1"/>
  <c r="C147" i="18" s="1"/>
  <c r="D147" i="18" s="1"/>
  <c r="D149" i="18" s="1"/>
  <c r="C80" i="11"/>
  <c r="C84" i="11" s="1"/>
  <c r="C85" i="11" s="1"/>
  <c r="C80" i="13"/>
  <c r="C112" i="13" s="1"/>
  <c r="C88" i="17"/>
  <c r="C89" i="17" s="1"/>
  <c r="C91" i="17" s="1"/>
  <c r="C41" i="8"/>
  <c r="C100" i="14"/>
  <c r="C105" i="14" s="1"/>
  <c r="C106" i="14" s="1"/>
  <c r="C126" i="14"/>
  <c r="C131" i="14" s="1"/>
  <c r="C132" i="14" s="1"/>
  <c r="C112" i="14"/>
  <c r="C138" i="14"/>
  <c r="C84" i="14"/>
  <c r="C85" i="14" s="1"/>
  <c r="C100" i="13"/>
  <c r="C105" i="13" s="1"/>
  <c r="C106" i="13" s="1"/>
  <c r="C126" i="13"/>
  <c r="C131" i="13" s="1"/>
  <c r="C132" i="13" s="1"/>
  <c r="C88" i="12"/>
  <c r="C89" i="12" s="1"/>
  <c r="C91" i="12" s="1"/>
  <c r="C100" i="11"/>
  <c r="C105" i="11" s="1"/>
  <c r="C106" i="11" s="1"/>
  <c r="C126" i="11"/>
  <c r="C131" i="11" s="1"/>
  <c r="C132" i="11" s="1"/>
  <c r="C100" i="10"/>
  <c r="C105" i="10" s="1"/>
  <c r="C106" i="10" s="1"/>
  <c r="C126" i="10"/>
  <c r="C131" i="10" s="1"/>
  <c r="C132" i="10" s="1"/>
  <c r="C112" i="10"/>
  <c r="C138" i="10"/>
  <c r="C84" i="10"/>
  <c r="C85" i="10" s="1"/>
  <c r="C35" i="8"/>
  <c r="F42" i="8" s="1"/>
  <c r="C138" i="11" l="1"/>
  <c r="B152" i="18"/>
  <c r="C152" i="18"/>
  <c r="I14" i="9" s="1"/>
  <c r="C84" i="13"/>
  <c r="C85" i="13" s="1"/>
  <c r="C88" i="13" s="1"/>
  <c r="C89" i="13" s="1"/>
  <c r="C91" i="13" s="1"/>
  <c r="C138" i="13"/>
  <c r="C112" i="11"/>
  <c r="D112" i="17"/>
  <c r="B113" i="17" s="1"/>
  <c r="C113" i="17" s="1"/>
  <c r="D113" i="17" s="1"/>
  <c r="B114" i="17" s="1"/>
  <c r="C114" i="17" s="1"/>
  <c r="D114" i="17" s="1"/>
  <c r="B115" i="17" s="1"/>
  <c r="C115" i="17" s="1"/>
  <c r="D115" i="17" s="1"/>
  <c r="B116" i="17" s="1"/>
  <c r="C116" i="17" s="1"/>
  <c r="D116" i="17" s="1"/>
  <c r="B117" i="17" s="1"/>
  <c r="C117" i="17" s="1"/>
  <c r="D117" i="17" s="1"/>
  <c r="B118" i="17" s="1"/>
  <c r="C118" i="17" s="1"/>
  <c r="D118" i="17" s="1"/>
  <c r="B119" i="17" s="1"/>
  <c r="C119" i="17" s="1"/>
  <c r="D119" i="17" s="1"/>
  <c r="B120" i="17" s="1"/>
  <c r="C120" i="17" s="1"/>
  <c r="D120" i="17" s="1"/>
  <c r="B121" i="17" s="1"/>
  <c r="C121" i="17" s="1"/>
  <c r="D121" i="17" s="1"/>
  <c r="D123" i="17" s="1"/>
  <c r="F123" i="17" s="1"/>
  <c r="D138" i="17"/>
  <c r="B139" i="17" s="1"/>
  <c r="C139" i="17" s="1"/>
  <c r="D139" i="17" s="1"/>
  <c r="B140" i="17" s="1"/>
  <c r="C140" i="17" s="1"/>
  <c r="D140" i="17" s="1"/>
  <c r="B141" i="17" s="1"/>
  <c r="C141" i="17" s="1"/>
  <c r="D141" i="17" s="1"/>
  <c r="B142" i="17" s="1"/>
  <c r="C142" i="17" s="1"/>
  <c r="D142" i="17" s="1"/>
  <c r="B143" i="17" s="1"/>
  <c r="C143" i="17" s="1"/>
  <c r="D143" i="17" s="1"/>
  <c r="B144" i="17" s="1"/>
  <c r="C144" i="17" s="1"/>
  <c r="D144" i="17" s="1"/>
  <c r="B145" i="17" s="1"/>
  <c r="C145" i="17" s="1"/>
  <c r="D145" i="17" s="1"/>
  <c r="B146" i="17" s="1"/>
  <c r="C146" i="17" s="1"/>
  <c r="D146" i="17" s="1"/>
  <c r="B147" i="17" s="1"/>
  <c r="C147" i="17" s="1"/>
  <c r="D147" i="17" s="1"/>
  <c r="D149" i="17" s="1"/>
  <c r="C88" i="14"/>
  <c r="C89" i="14" s="1"/>
  <c r="C91" i="14" s="1"/>
  <c r="D112" i="12"/>
  <c r="B113" i="12" s="1"/>
  <c r="C113" i="12" s="1"/>
  <c r="D113" i="12" s="1"/>
  <c r="B114" i="12" s="1"/>
  <c r="C114" i="12" s="1"/>
  <c r="D114" i="12" s="1"/>
  <c r="B115" i="12" s="1"/>
  <c r="C115" i="12" s="1"/>
  <c r="D115" i="12" s="1"/>
  <c r="B116" i="12" s="1"/>
  <c r="C116" i="12" s="1"/>
  <c r="D116" i="12" s="1"/>
  <c r="B117" i="12" s="1"/>
  <c r="C117" i="12" s="1"/>
  <c r="D117" i="12" s="1"/>
  <c r="B118" i="12" s="1"/>
  <c r="C118" i="12" s="1"/>
  <c r="D118" i="12" s="1"/>
  <c r="B119" i="12" s="1"/>
  <c r="C119" i="12" s="1"/>
  <c r="D119" i="12" s="1"/>
  <c r="B120" i="12" s="1"/>
  <c r="C120" i="12" s="1"/>
  <c r="D120" i="12" s="1"/>
  <c r="B121" i="12" s="1"/>
  <c r="C121" i="12" s="1"/>
  <c r="D121" i="12" s="1"/>
  <c r="D123" i="12" s="1"/>
  <c r="F123" i="12" s="1"/>
  <c r="D138" i="12"/>
  <c r="B139" i="12" s="1"/>
  <c r="C139" i="12" s="1"/>
  <c r="D139" i="12" s="1"/>
  <c r="B140" i="12" s="1"/>
  <c r="C140" i="12" s="1"/>
  <c r="D140" i="12" s="1"/>
  <c r="B141" i="12" s="1"/>
  <c r="C141" i="12" s="1"/>
  <c r="D141" i="12" s="1"/>
  <c r="B142" i="12" s="1"/>
  <c r="C142" i="12" s="1"/>
  <c r="D142" i="12" s="1"/>
  <c r="B143" i="12" s="1"/>
  <c r="C143" i="12" s="1"/>
  <c r="D143" i="12" s="1"/>
  <c r="B144" i="12" s="1"/>
  <c r="C144" i="12" s="1"/>
  <c r="D144" i="12" s="1"/>
  <c r="B145" i="12" s="1"/>
  <c r="C145" i="12" s="1"/>
  <c r="D145" i="12" s="1"/>
  <c r="B146" i="12" s="1"/>
  <c r="C146" i="12" s="1"/>
  <c r="D146" i="12" s="1"/>
  <c r="B147" i="12" s="1"/>
  <c r="C147" i="12" s="1"/>
  <c r="D147" i="12" s="1"/>
  <c r="D149" i="12" s="1"/>
  <c r="C88" i="11"/>
  <c r="C89" i="11" s="1"/>
  <c r="C91" i="11" s="1"/>
  <c r="C88" i="10"/>
  <c r="C89" i="10" s="1"/>
  <c r="C91" i="10" s="1"/>
  <c r="C2" i="7"/>
  <c r="C25" i="7"/>
  <c r="C22" i="7"/>
  <c r="C18" i="7"/>
  <c r="C17" i="7"/>
  <c r="C12" i="7"/>
  <c r="C11" i="7"/>
  <c r="C10" i="7"/>
  <c r="C9" i="7"/>
  <c r="C8" i="7"/>
  <c r="C6" i="7"/>
  <c r="C5" i="7"/>
  <c r="C152" i="17" l="1"/>
  <c r="I13" i="9" s="1"/>
  <c r="B152" i="17"/>
  <c r="C152" i="12"/>
  <c r="I10" i="9" s="1"/>
  <c r="B152" i="12"/>
  <c r="D112" i="14"/>
  <c r="B113" i="14" s="1"/>
  <c r="C113" i="14" s="1"/>
  <c r="D113" i="14" s="1"/>
  <c r="B114" i="14" s="1"/>
  <c r="C114" i="14" s="1"/>
  <c r="D114" i="14" s="1"/>
  <c r="B115" i="14" s="1"/>
  <c r="C115" i="14" s="1"/>
  <c r="D115" i="14" s="1"/>
  <c r="B116" i="14" s="1"/>
  <c r="C116" i="14" s="1"/>
  <c r="D116" i="14" s="1"/>
  <c r="B117" i="14" s="1"/>
  <c r="C117" i="14" s="1"/>
  <c r="D117" i="14" s="1"/>
  <c r="B118" i="14" s="1"/>
  <c r="C118" i="14" s="1"/>
  <c r="D118" i="14" s="1"/>
  <c r="B119" i="14" s="1"/>
  <c r="C119" i="14" s="1"/>
  <c r="D119" i="14" s="1"/>
  <c r="B120" i="14" s="1"/>
  <c r="C120" i="14" s="1"/>
  <c r="D120" i="14" s="1"/>
  <c r="B121" i="14" s="1"/>
  <c r="C121" i="14" s="1"/>
  <c r="D121" i="14" s="1"/>
  <c r="D123" i="14" s="1"/>
  <c r="F123" i="14" s="1"/>
  <c r="D138" i="14"/>
  <c r="B139" i="14" s="1"/>
  <c r="C139" i="14" s="1"/>
  <c r="D139" i="14" s="1"/>
  <c r="B140" i="14" s="1"/>
  <c r="C140" i="14" s="1"/>
  <c r="D140" i="14" s="1"/>
  <c r="B141" i="14" s="1"/>
  <c r="C141" i="14" s="1"/>
  <c r="D141" i="14" s="1"/>
  <c r="B142" i="14" s="1"/>
  <c r="C142" i="14" s="1"/>
  <c r="D142" i="14" s="1"/>
  <c r="B143" i="14" s="1"/>
  <c r="C143" i="14" s="1"/>
  <c r="D143" i="14" s="1"/>
  <c r="B144" i="14" s="1"/>
  <c r="C144" i="14" s="1"/>
  <c r="D144" i="14" s="1"/>
  <c r="B145" i="14" s="1"/>
  <c r="C145" i="14" s="1"/>
  <c r="D145" i="14" s="1"/>
  <c r="B146" i="14" s="1"/>
  <c r="C146" i="14" s="1"/>
  <c r="D146" i="14" s="1"/>
  <c r="B147" i="14" s="1"/>
  <c r="C147" i="14" s="1"/>
  <c r="D147" i="14" s="1"/>
  <c r="D149" i="14" s="1"/>
  <c r="D112" i="13"/>
  <c r="B113" i="13" s="1"/>
  <c r="C113" i="13" s="1"/>
  <c r="D113" i="13" s="1"/>
  <c r="B114" i="13" s="1"/>
  <c r="C114" i="13" s="1"/>
  <c r="D114" i="13" s="1"/>
  <c r="B115" i="13" s="1"/>
  <c r="C115" i="13" s="1"/>
  <c r="D115" i="13" s="1"/>
  <c r="B116" i="13" s="1"/>
  <c r="C116" i="13" s="1"/>
  <c r="D116" i="13" s="1"/>
  <c r="B117" i="13" s="1"/>
  <c r="C117" i="13" s="1"/>
  <c r="D117" i="13" s="1"/>
  <c r="B118" i="13" s="1"/>
  <c r="C118" i="13" s="1"/>
  <c r="D118" i="13" s="1"/>
  <c r="B119" i="13" s="1"/>
  <c r="C119" i="13" s="1"/>
  <c r="D119" i="13" s="1"/>
  <c r="B120" i="13" s="1"/>
  <c r="C120" i="13" s="1"/>
  <c r="D120" i="13" s="1"/>
  <c r="B121" i="13" s="1"/>
  <c r="C121" i="13" s="1"/>
  <c r="D121" i="13" s="1"/>
  <c r="D123" i="13" s="1"/>
  <c r="F123" i="13" s="1"/>
  <c r="D138" i="13"/>
  <c r="B139" i="13" s="1"/>
  <c r="C139" i="13" s="1"/>
  <c r="D139" i="13" s="1"/>
  <c r="B140" i="13" s="1"/>
  <c r="C140" i="13" s="1"/>
  <c r="D140" i="13" s="1"/>
  <c r="B141" i="13" s="1"/>
  <c r="C141" i="13" s="1"/>
  <c r="D141" i="13" s="1"/>
  <c r="B142" i="13" s="1"/>
  <c r="C142" i="13" s="1"/>
  <c r="D142" i="13" s="1"/>
  <c r="B143" i="13" s="1"/>
  <c r="C143" i="13" s="1"/>
  <c r="D143" i="13" s="1"/>
  <c r="B144" i="13" s="1"/>
  <c r="C144" i="13" s="1"/>
  <c r="D144" i="13" s="1"/>
  <c r="B145" i="13" s="1"/>
  <c r="C145" i="13" s="1"/>
  <c r="D145" i="13" s="1"/>
  <c r="B146" i="13" s="1"/>
  <c r="C146" i="13" s="1"/>
  <c r="D146" i="13" s="1"/>
  <c r="B147" i="13" s="1"/>
  <c r="C147" i="13" s="1"/>
  <c r="D147" i="13" s="1"/>
  <c r="D149" i="13" s="1"/>
  <c r="D112" i="11"/>
  <c r="B113" i="11" s="1"/>
  <c r="C113" i="11" s="1"/>
  <c r="D113" i="11" s="1"/>
  <c r="B114" i="11" s="1"/>
  <c r="C114" i="11" s="1"/>
  <c r="D114" i="11" s="1"/>
  <c r="B115" i="11" s="1"/>
  <c r="C115" i="11" s="1"/>
  <c r="D115" i="11" s="1"/>
  <c r="B116" i="11" s="1"/>
  <c r="C116" i="11" s="1"/>
  <c r="D116" i="11" s="1"/>
  <c r="B117" i="11" s="1"/>
  <c r="C117" i="11" s="1"/>
  <c r="D117" i="11" s="1"/>
  <c r="B118" i="11" s="1"/>
  <c r="C118" i="11" s="1"/>
  <c r="D118" i="11" s="1"/>
  <c r="B119" i="11" s="1"/>
  <c r="C119" i="11" s="1"/>
  <c r="D119" i="11" s="1"/>
  <c r="B120" i="11" s="1"/>
  <c r="C120" i="11" s="1"/>
  <c r="D120" i="11" s="1"/>
  <c r="B121" i="11" s="1"/>
  <c r="C121" i="11" s="1"/>
  <c r="D121" i="11" s="1"/>
  <c r="D123" i="11" s="1"/>
  <c r="F123" i="11" s="1"/>
  <c r="D138" i="11"/>
  <c r="B139" i="11" s="1"/>
  <c r="C139" i="11" s="1"/>
  <c r="D139" i="11" s="1"/>
  <c r="B140" i="11" s="1"/>
  <c r="C140" i="11" s="1"/>
  <c r="D140" i="11" s="1"/>
  <c r="B141" i="11" s="1"/>
  <c r="C141" i="11" s="1"/>
  <c r="D141" i="11" s="1"/>
  <c r="B142" i="11" s="1"/>
  <c r="C142" i="11" s="1"/>
  <c r="D142" i="11" s="1"/>
  <c r="B143" i="11" s="1"/>
  <c r="C143" i="11" s="1"/>
  <c r="D143" i="11" s="1"/>
  <c r="B144" i="11" s="1"/>
  <c r="C144" i="11" s="1"/>
  <c r="D144" i="11" s="1"/>
  <c r="B145" i="11" s="1"/>
  <c r="C145" i="11" s="1"/>
  <c r="D145" i="11" s="1"/>
  <c r="B146" i="11" s="1"/>
  <c r="C146" i="11" s="1"/>
  <c r="D146" i="11" s="1"/>
  <c r="B147" i="11" s="1"/>
  <c r="C147" i="11" s="1"/>
  <c r="D147" i="11" s="1"/>
  <c r="D149" i="11" s="1"/>
  <c r="D112" i="10"/>
  <c r="B113" i="10" s="1"/>
  <c r="C113" i="10" s="1"/>
  <c r="D113" i="10" s="1"/>
  <c r="B114" i="10" s="1"/>
  <c r="C114" i="10" s="1"/>
  <c r="D114" i="10" s="1"/>
  <c r="B115" i="10" s="1"/>
  <c r="C115" i="10" s="1"/>
  <c r="D115" i="10" s="1"/>
  <c r="B116" i="10" s="1"/>
  <c r="C116" i="10" s="1"/>
  <c r="D116" i="10" s="1"/>
  <c r="B117" i="10" s="1"/>
  <c r="C117" i="10" s="1"/>
  <c r="D117" i="10" s="1"/>
  <c r="B118" i="10" s="1"/>
  <c r="C118" i="10" s="1"/>
  <c r="D118" i="10" s="1"/>
  <c r="B119" i="10" s="1"/>
  <c r="C119" i="10" s="1"/>
  <c r="D119" i="10" s="1"/>
  <c r="B120" i="10" s="1"/>
  <c r="C120" i="10" s="1"/>
  <c r="D120" i="10" s="1"/>
  <c r="B121" i="10" s="1"/>
  <c r="C121" i="10" s="1"/>
  <c r="D121" i="10" s="1"/>
  <c r="D123" i="10" s="1"/>
  <c r="F123" i="10" s="1"/>
  <c r="D138" i="10"/>
  <c r="B139" i="10" s="1"/>
  <c r="C139" i="10" s="1"/>
  <c r="D139" i="10" s="1"/>
  <c r="B140" i="10" s="1"/>
  <c r="C140" i="10" s="1"/>
  <c r="D140" i="10" s="1"/>
  <c r="B141" i="10" s="1"/>
  <c r="C141" i="10" s="1"/>
  <c r="D141" i="10" s="1"/>
  <c r="B142" i="10" s="1"/>
  <c r="C142" i="10" s="1"/>
  <c r="D142" i="10" s="1"/>
  <c r="B143" i="10" s="1"/>
  <c r="C143" i="10" s="1"/>
  <c r="D143" i="10" s="1"/>
  <c r="B144" i="10" s="1"/>
  <c r="C144" i="10" s="1"/>
  <c r="D144" i="10" s="1"/>
  <c r="B145" i="10" s="1"/>
  <c r="C145" i="10" s="1"/>
  <c r="D145" i="10" s="1"/>
  <c r="B146" i="10" s="1"/>
  <c r="C146" i="10" s="1"/>
  <c r="D146" i="10" s="1"/>
  <c r="B147" i="10" s="1"/>
  <c r="C147" i="10" s="1"/>
  <c r="D147" i="10" s="1"/>
  <c r="D149" i="10" s="1"/>
  <c r="C29" i="7"/>
  <c r="C94" i="7"/>
  <c r="C33" i="7"/>
  <c r="C34" i="7" s="1"/>
  <c r="C45" i="7"/>
  <c r="C44" i="7"/>
  <c r="C40" i="7"/>
  <c r="C39" i="7"/>
  <c r="C46" i="8"/>
  <c r="C26" i="8"/>
  <c r="C31" i="8" s="1"/>
  <c r="C25" i="8"/>
  <c r="C30" i="8" s="1"/>
  <c r="C152" i="14" l="1"/>
  <c r="I12" i="9" s="1"/>
  <c r="C152" i="13"/>
  <c r="I11" i="9" s="1"/>
  <c r="C152" i="10"/>
  <c r="I8" i="9" s="1"/>
  <c r="B152" i="13"/>
  <c r="B152" i="10"/>
  <c r="C152" i="11"/>
  <c r="I9" i="9" s="1"/>
  <c r="B152" i="14"/>
  <c r="B152" i="11"/>
  <c r="C55" i="7"/>
  <c r="C58" i="7"/>
  <c r="C57" i="7"/>
  <c r="C47" i="8"/>
  <c r="C48" i="8" s="1"/>
  <c r="C32" i="8"/>
  <c r="C34" i="8" s="1"/>
  <c r="C37" i="8" l="1"/>
  <c r="C38" i="8" s="1"/>
  <c r="C35" i="7"/>
  <c r="C42" i="8" l="1"/>
  <c r="C30" i="7"/>
  <c r="C43" i="8" l="1"/>
  <c r="F8" i="8" s="1"/>
  <c r="F43" i="8"/>
  <c r="C46" i="7"/>
  <c r="C41" i="7"/>
  <c r="C51" i="7"/>
  <c r="C50" i="8" l="1"/>
  <c r="I6" i="9" s="1"/>
  <c r="J10" i="9" s="1"/>
  <c r="C53" i="8"/>
  <c r="J8" i="9"/>
  <c r="C102" i="7"/>
  <c r="C59" i="7"/>
  <c r="J6" i="9"/>
  <c r="C47" i="7"/>
  <c r="C79" i="7" s="1"/>
  <c r="C42" i="7"/>
  <c r="C81" i="7"/>
  <c r="C52" i="7"/>
  <c r="J12" i="9" l="1"/>
  <c r="J16" i="9"/>
  <c r="J15" i="9"/>
  <c r="J14" i="9"/>
  <c r="J11" i="9"/>
  <c r="J9" i="9"/>
  <c r="J13" i="9"/>
  <c r="C60" i="7"/>
  <c r="C128" i="7"/>
  <c r="C95" i="7" l="1"/>
  <c r="C73" i="7"/>
  <c r="C72" i="7"/>
  <c r="C71" i="7"/>
  <c r="C70" i="7"/>
  <c r="C69" i="7"/>
  <c r="C61" i="7"/>
  <c r="C75" i="7" l="1"/>
  <c r="C97" i="7" s="1"/>
  <c r="C126" i="7" s="1"/>
  <c r="C63" i="7"/>
  <c r="C80" i="7" l="1"/>
  <c r="C84" i="7" s="1"/>
  <c r="C85" i="7" s="1"/>
  <c r="C88" i="7" s="1"/>
  <c r="C64" i="7"/>
  <c r="C138" i="7" l="1"/>
  <c r="C112" i="7"/>
  <c r="C100" i="7"/>
  <c r="C105" i="7" s="1"/>
  <c r="C106" i="7" s="1"/>
  <c r="C131" i="7"/>
  <c r="C132" i="7" s="1"/>
  <c r="C89" i="7"/>
  <c r="C91" i="7" s="1"/>
  <c r="D138" i="7" l="1"/>
  <c r="B139" i="7" s="1"/>
  <c r="C139" i="7" s="1"/>
  <c r="D112" i="7"/>
  <c r="B113" i="7" s="1"/>
  <c r="C113" i="7" l="1"/>
  <c r="D113" i="7" s="1"/>
  <c r="B114" i="7" s="1"/>
  <c r="C114" i="7" s="1"/>
  <c r="D114" i="7" s="1"/>
  <c r="B115" i="7" s="1"/>
  <c r="D139" i="7"/>
  <c r="B140" i="7" l="1"/>
  <c r="C140" i="7" s="1"/>
  <c r="D140" i="7" s="1"/>
  <c r="C115" i="7"/>
  <c r="D115" i="7" s="1"/>
  <c r="B141" i="7" l="1"/>
  <c r="C141" i="7" s="1"/>
  <c r="D141" i="7" s="1"/>
  <c r="B142" i="7" l="1"/>
  <c r="C142" i="7" s="1"/>
  <c r="D142" i="7" s="1"/>
  <c r="B116" i="7"/>
  <c r="C116" i="7" s="1"/>
  <c r="D116" i="7" s="1"/>
  <c r="B143" i="7" l="1"/>
  <c r="C143" i="7" s="1"/>
  <c r="D143" i="7" s="1"/>
  <c r="B117" i="7"/>
  <c r="C117" i="7" s="1"/>
  <c r="B144" i="7" l="1"/>
  <c r="C144" i="7" s="1"/>
  <c r="D144" i="7" s="1"/>
  <c r="B145" i="7" s="1"/>
  <c r="C145" i="7" s="1"/>
  <c r="D145" i="7" s="1"/>
  <c r="D117" i="7"/>
  <c r="B118" i="7" s="1"/>
  <c r="C118" i="7" s="1"/>
  <c r="D118" i="7" l="1"/>
  <c r="B119" i="7" s="1"/>
  <c r="C119" i="7" s="1"/>
  <c r="B146" i="7"/>
  <c r="C146" i="7" s="1"/>
  <c r="D146" i="7" s="1"/>
  <c r="D119" i="7" l="1"/>
  <c r="B120" i="7" s="1"/>
  <c r="C120" i="7" s="1"/>
  <c r="B147" i="7"/>
  <c r="C147" i="7" s="1"/>
  <c r="D147" i="7" s="1"/>
  <c r="D149" i="7" s="1"/>
  <c r="D120" i="7" l="1"/>
  <c r="B121" i="7" s="1"/>
  <c r="C121" i="7" s="1"/>
  <c r="D121" i="7" l="1"/>
  <c r="D123" i="7" s="1"/>
  <c r="F123" i="7" s="1"/>
  <c r="C152" i="7" l="1"/>
  <c r="I7" i="9" s="1"/>
  <c r="J7" i="9" s="1"/>
  <c r="B152" i="7"/>
</calcChain>
</file>

<file path=xl/sharedStrings.xml><?xml version="1.0" encoding="utf-8"?>
<sst xmlns="http://schemas.openxmlformats.org/spreadsheetml/2006/main" count="2220" uniqueCount="198">
  <si>
    <t>Lipped Channel Section</t>
  </si>
  <si>
    <t>d</t>
  </si>
  <si>
    <t>mm</t>
  </si>
  <si>
    <t>b</t>
  </si>
  <si>
    <t>c</t>
  </si>
  <si>
    <t>t</t>
  </si>
  <si>
    <t>MPa</t>
  </si>
  <si>
    <t>Squash load</t>
  </si>
  <si>
    <t>kN</t>
  </si>
  <si>
    <t>Local buckling load</t>
  </si>
  <si>
    <t>Slenderness</t>
  </si>
  <si>
    <t>Local buckling capacity</t>
  </si>
  <si>
    <t>HF</t>
  </si>
  <si>
    <t>HF Lip</t>
  </si>
  <si>
    <t>CF Lip</t>
  </si>
  <si>
    <t>CF</t>
  </si>
  <si>
    <t>Web</t>
  </si>
  <si>
    <t>kNm</t>
  </si>
  <si>
    <t>α</t>
  </si>
  <si>
    <t>Interaction equation at mid-height</t>
  </si>
  <si>
    <t>Buckling Capacity</t>
  </si>
  <si>
    <t>Flexural buckling capacity</t>
  </si>
  <si>
    <t xml:space="preserve">Squash load </t>
  </si>
  <si>
    <t>Local buckling moment</t>
  </si>
  <si>
    <t>1. Stud Section Dimensions and Properties</t>
  </si>
  <si>
    <t xml:space="preserve">3.1. Compression Member </t>
  </si>
  <si>
    <t>Local buckling load factor at ambient temperature</t>
  </si>
  <si>
    <t>Thickness of the Stud (BMT)</t>
  </si>
  <si>
    <t>Length of the Stud</t>
  </si>
  <si>
    <t>Gross Area of the Stud Section</t>
  </si>
  <si>
    <t>Second Moment of Area about Major Axis (x-axis)</t>
  </si>
  <si>
    <t>Stud Hot Flange Temperature (HF)</t>
  </si>
  <si>
    <t>Stud Cold Flange Temperature (CF)</t>
  </si>
  <si>
    <t>Elastic Modulus</t>
  </si>
  <si>
    <t xml:space="preserve">Yield Strength </t>
  </si>
  <si>
    <t>3.2. Flexural Bember</t>
  </si>
  <si>
    <t>Mean thermal expansion coefficient</t>
  </si>
  <si>
    <t>Thermal bowing deflection</t>
  </si>
  <si>
    <t>Nmm</t>
  </si>
  <si>
    <t>Neutral axis shift about the major axis</t>
  </si>
  <si>
    <t>Eccentricity at mid-height</t>
  </si>
  <si>
    <t>Eccentricity at support</t>
  </si>
  <si>
    <t>Section moment capacity with Buckling</t>
  </si>
  <si>
    <t>Critical local buckling moment</t>
  </si>
  <si>
    <t>Section moment Capacity at mid-height</t>
  </si>
  <si>
    <t>N*</t>
  </si>
  <si>
    <t>Ultimate Capacity of the stud at elevated temperature</t>
  </si>
  <si>
    <r>
      <t xml:space="preserve">DIRECT STRENGTH METHOD (DSM) </t>
    </r>
    <r>
      <rPr>
        <b/>
        <sz val="12"/>
        <color theme="1"/>
        <rFont val="Times New Roman"/>
        <family val="1"/>
      </rPr>
      <t>- Draft AS4600 (SA, 2017)</t>
    </r>
  </si>
  <si>
    <r>
      <t>A</t>
    </r>
    <r>
      <rPr>
        <b/>
        <vertAlign val="subscript"/>
        <sz val="12"/>
        <color theme="1"/>
        <rFont val="Times New Roman"/>
        <family val="1"/>
      </rPr>
      <t>g</t>
    </r>
  </si>
  <si>
    <r>
      <t>mm</t>
    </r>
    <r>
      <rPr>
        <vertAlign val="superscript"/>
        <sz val="12"/>
        <color theme="1"/>
        <rFont val="Times New Roman"/>
        <family val="1"/>
      </rPr>
      <t>2</t>
    </r>
  </si>
  <si>
    <r>
      <t>I</t>
    </r>
    <r>
      <rPr>
        <b/>
        <vertAlign val="subscript"/>
        <sz val="12"/>
        <color theme="1"/>
        <rFont val="Times New Roman"/>
        <family val="1"/>
      </rPr>
      <t>xx</t>
    </r>
  </si>
  <si>
    <r>
      <t>mm</t>
    </r>
    <r>
      <rPr>
        <vertAlign val="superscript"/>
        <sz val="12"/>
        <color theme="1"/>
        <rFont val="Times New Roman"/>
        <family val="1"/>
      </rPr>
      <t>4</t>
    </r>
  </si>
  <si>
    <r>
      <t>Z</t>
    </r>
    <r>
      <rPr>
        <b/>
        <vertAlign val="subscript"/>
        <sz val="12"/>
        <color theme="1"/>
        <rFont val="Times New Roman"/>
        <family val="1"/>
      </rPr>
      <t>x</t>
    </r>
  </si>
  <si>
    <r>
      <t>mm</t>
    </r>
    <r>
      <rPr>
        <vertAlign val="superscript"/>
        <sz val="12"/>
        <color theme="1"/>
        <rFont val="Times New Roman"/>
        <family val="1"/>
      </rPr>
      <t>3</t>
    </r>
  </si>
  <si>
    <r>
      <t>T</t>
    </r>
    <r>
      <rPr>
        <b/>
        <vertAlign val="subscript"/>
        <sz val="12"/>
        <color theme="1"/>
        <rFont val="Times New Roman"/>
        <family val="1"/>
      </rPr>
      <t>HF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</si>
  <si>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</si>
  <si>
    <r>
      <t>T</t>
    </r>
    <r>
      <rPr>
        <b/>
        <vertAlign val="subscript"/>
        <sz val="12"/>
        <color theme="1"/>
        <rFont val="Times New Roman"/>
        <family val="1"/>
      </rPr>
      <t>CF</t>
    </r>
  </si>
  <si>
    <r>
      <t>T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</si>
  <si>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20</t>
    </r>
  </si>
  <si>
    <r>
      <t>f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</si>
  <si>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se,20</t>
    </r>
  </si>
  <si>
    <r>
      <t>N</t>
    </r>
    <r>
      <rPr>
        <b/>
        <vertAlign val="subscript"/>
        <sz val="12"/>
        <color theme="1"/>
        <rFont val="Times New Roman"/>
        <family val="1"/>
      </rPr>
      <t>ol,20</t>
    </r>
  </si>
  <si>
    <r>
      <t>M</t>
    </r>
    <r>
      <rPr>
        <b/>
        <vertAlign val="subscript"/>
        <sz val="12"/>
        <color theme="1"/>
        <rFont val="Times New Roman"/>
        <family val="1"/>
      </rPr>
      <t>ol,20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</si>
  <si>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</si>
  <si>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</si>
  <si>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</si>
  <si>
    <r>
      <t>E</t>
    </r>
    <r>
      <rPr>
        <b/>
        <vertAlign val="subscript"/>
        <sz val="12"/>
        <color theme="1"/>
        <rFont val="Times New Roman"/>
        <family val="1"/>
      </rPr>
      <t>avg</t>
    </r>
  </si>
  <si>
    <r>
      <t>f</t>
    </r>
    <r>
      <rPr>
        <b/>
        <vertAlign val="subscript"/>
        <sz val="12"/>
        <color theme="1"/>
        <rFont val="Times New Roman"/>
        <family val="1"/>
      </rPr>
      <t>y,HF</t>
    </r>
  </si>
  <si>
    <r>
      <t>f</t>
    </r>
    <r>
      <rPr>
        <b/>
        <vertAlign val="subscript"/>
        <sz val="12"/>
        <color theme="1"/>
        <rFont val="Times New Roman"/>
        <family val="1"/>
      </rPr>
      <t>y,CF</t>
    </r>
  </si>
  <si>
    <r>
      <t>f</t>
    </r>
    <r>
      <rPr>
        <b/>
        <vertAlign val="subscript"/>
        <sz val="12"/>
        <color theme="1"/>
        <rFont val="Times New Roman"/>
        <family val="1"/>
      </rPr>
      <t>y,Web</t>
    </r>
  </si>
  <si>
    <r>
      <t>f</t>
    </r>
    <r>
      <rPr>
        <b/>
        <vertAlign val="subscript"/>
        <sz val="12"/>
        <color theme="1"/>
        <rFont val="Times New Roman"/>
        <family val="1"/>
      </rPr>
      <t>y,avg</t>
    </r>
  </si>
  <si>
    <r>
      <t>α</t>
    </r>
    <r>
      <rPr>
        <b/>
        <vertAlign val="subscript"/>
        <sz val="12"/>
        <color theme="1"/>
        <rFont val="Times New Roman"/>
        <family val="1"/>
      </rPr>
      <t>T</t>
    </r>
  </si>
  <si>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</t>
    </r>
    <r>
      <rPr>
        <vertAlign val="superscript"/>
        <sz val="12"/>
        <color theme="1"/>
        <rFont val="Times New Roman"/>
        <family val="1"/>
      </rPr>
      <t>-1</t>
    </r>
  </si>
  <si>
    <r>
      <t>e</t>
    </r>
    <r>
      <rPr>
        <b/>
        <vertAlign val="subscript"/>
        <sz val="12"/>
        <color theme="1"/>
        <rFont val="Times New Roman"/>
        <family val="1"/>
      </rPr>
      <t>∆T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</si>
  <si>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</si>
  <si>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CF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</si>
  <si>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E</t>
    </r>
    <r>
      <rPr>
        <b/>
        <vertAlign val="subscript"/>
        <sz val="12"/>
        <color theme="1"/>
        <rFont val="Times New Roman"/>
        <family val="1"/>
      </rPr>
      <t>Web</t>
    </r>
    <r>
      <rPr>
        <b/>
        <sz val="12"/>
        <color theme="1"/>
        <rFont val="Times New Roman"/>
        <family val="1"/>
      </rPr>
      <t xml:space="preserve"> x A</t>
    </r>
    <r>
      <rPr>
        <b/>
        <vertAlign val="subscript"/>
        <sz val="12"/>
        <color theme="1"/>
        <rFont val="Times New Roman"/>
        <family val="1"/>
      </rPr>
      <t>g</t>
    </r>
    <r>
      <rPr>
        <b/>
        <sz val="12"/>
        <color theme="1"/>
        <rFont val="Times New Roman"/>
        <family val="1"/>
      </rPr>
      <t xml:space="preserve"> x Y</t>
    </r>
  </si>
  <si>
    <r>
      <t>Y</t>
    </r>
    <r>
      <rPr>
        <b/>
        <vertAlign val="subscript"/>
        <sz val="12"/>
        <rFont val="Times New Roman"/>
        <family val="1"/>
      </rPr>
      <t>T</t>
    </r>
  </si>
  <si>
    <r>
      <t>e</t>
    </r>
    <r>
      <rPr>
        <b/>
        <vertAlign val="subscript"/>
        <sz val="12"/>
        <color theme="1"/>
        <rFont val="Times New Roman"/>
        <family val="1"/>
      </rPr>
      <t>∆E</t>
    </r>
  </si>
  <si>
    <r>
      <t>e</t>
    </r>
    <r>
      <rPr>
        <b/>
        <vertAlign val="subscript"/>
        <sz val="12"/>
        <color theme="1"/>
        <rFont val="Times New Roman"/>
        <family val="1"/>
      </rPr>
      <t>mid-height</t>
    </r>
  </si>
  <si>
    <r>
      <t>e</t>
    </r>
    <r>
      <rPr>
        <b/>
        <vertAlign val="subscript"/>
        <sz val="12"/>
        <color theme="1"/>
        <rFont val="Times New Roman"/>
        <family val="1"/>
      </rPr>
      <t>support</t>
    </r>
  </si>
  <si>
    <r>
      <t>E</t>
    </r>
    <r>
      <rPr>
        <b/>
        <vertAlign val="subscript"/>
        <sz val="12"/>
        <color theme="1"/>
        <rFont val="Times New Roman"/>
        <family val="1"/>
      </rPr>
      <t>HF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lip</t>
    </r>
  </si>
  <si>
    <r>
      <t>Nmm</t>
    </r>
    <r>
      <rPr>
        <vertAlign val="superscript"/>
        <sz val="12"/>
        <color theme="1"/>
        <rFont val="Times New Roman"/>
        <family val="1"/>
      </rPr>
      <t>2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</si>
  <si>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HF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HF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</si>
  <si>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Lip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</si>
  <si>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CF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CF</t>
    </r>
  </si>
  <si>
    <r>
      <t>E</t>
    </r>
    <r>
      <rPr>
        <b/>
        <vertAlign val="subscript"/>
        <sz val="12"/>
        <color theme="1"/>
        <rFont val="Times New Roman"/>
        <family val="1"/>
      </rPr>
      <t xml:space="preserve">web </t>
    </r>
    <r>
      <rPr>
        <b/>
        <sz val="12"/>
        <color theme="1"/>
        <rFont val="Times New Roman"/>
        <family val="1"/>
      </rPr>
      <t>x I</t>
    </r>
    <r>
      <rPr>
        <b/>
        <vertAlign val="subscript"/>
        <sz val="12"/>
        <color theme="1"/>
        <rFont val="Times New Roman"/>
        <family val="1"/>
      </rPr>
      <t>Web</t>
    </r>
  </si>
  <si>
    <r>
      <t>Σ(E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 xml:space="preserve"> x I</t>
    </r>
    <r>
      <rPr>
        <b/>
        <vertAlign val="subscript"/>
        <sz val="12"/>
        <color theme="1"/>
        <rFont val="Times New Roman"/>
        <family val="1"/>
      </rPr>
      <t>i,T</t>
    </r>
    <r>
      <rPr>
        <b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</si>
  <si>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theme="1"/>
        <rFont val="Times New Roman"/>
        <family val="1"/>
      </rPr>
      <t>se,T</t>
    </r>
  </si>
  <si>
    <r>
      <t>N</t>
    </r>
    <r>
      <rPr>
        <b/>
        <vertAlign val="subscript"/>
        <sz val="12"/>
        <color theme="1"/>
        <rFont val="Times New Roman"/>
        <family val="1"/>
      </rPr>
      <t>cr,T</t>
    </r>
  </si>
  <si>
    <r>
      <t>N</t>
    </r>
    <r>
      <rPr>
        <b/>
        <vertAlign val="subscript"/>
        <sz val="12"/>
        <color theme="1"/>
        <rFont val="Times New Roman"/>
        <family val="1"/>
      </rPr>
      <t>ol,T</t>
    </r>
  </si>
  <si>
    <r>
      <t>λ</t>
    </r>
    <r>
      <rPr>
        <b/>
        <vertAlign val="subscript"/>
        <sz val="12"/>
        <color theme="1"/>
        <rFont val="Times New Roman"/>
        <family val="1"/>
      </rPr>
      <t>c</t>
    </r>
  </si>
  <si>
    <r>
      <t>N</t>
    </r>
    <r>
      <rPr>
        <b/>
        <vertAlign val="subscript"/>
        <sz val="12"/>
        <color theme="1"/>
        <rFont val="Times New Roman"/>
        <family val="1"/>
      </rPr>
      <t>ce,T</t>
    </r>
  </si>
  <si>
    <r>
      <t>λ</t>
    </r>
    <r>
      <rPr>
        <b/>
        <vertAlign val="subscript"/>
        <sz val="12"/>
        <color theme="1"/>
        <rFont val="Times New Roman"/>
        <family val="1"/>
      </rPr>
      <t>l</t>
    </r>
  </si>
  <si>
    <r>
      <t>N</t>
    </r>
    <r>
      <rPr>
        <b/>
        <vertAlign val="subscript"/>
        <sz val="12"/>
        <color theme="1"/>
        <rFont val="Times New Roman"/>
        <family val="1"/>
      </rPr>
      <t>cl,T</t>
    </r>
  </si>
  <si>
    <r>
      <t>Z</t>
    </r>
    <r>
      <rPr>
        <b/>
        <vertAlign val="subscript"/>
        <sz val="12"/>
        <color theme="1"/>
        <rFont val="Times New Roman"/>
        <family val="1"/>
      </rPr>
      <t>x,T</t>
    </r>
  </si>
  <si>
    <r>
      <t>M</t>
    </r>
    <r>
      <rPr>
        <b/>
        <vertAlign val="subscript"/>
        <sz val="12"/>
        <color theme="1"/>
        <rFont val="Times New Roman"/>
        <family val="1"/>
      </rPr>
      <t>ce,mid,T</t>
    </r>
  </si>
  <si>
    <r>
      <t>M</t>
    </r>
    <r>
      <rPr>
        <b/>
        <vertAlign val="subscript"/>
        <sz val="12"/>
        <color theme="1"/>
        <rFont val="Times New Roman"/>
        <family val="1"/>
      </rPr>
      <t>0l,T</t>
    </r>
  </si>
  <si>
    <r>
      <t>M</t>
    </r>
    <r>
      <rPr>
        <b/>
        <vertAlign val="subscript"/>
        <sz val="12"/>
        <color theme="1"/>
        <rFont val="Times New Roman"/>
        <family val="1"/>
      </rPr>
      <t>x,mid,T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</si>
  <si>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mid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x,mid,T</t>
    </r>
    <r>
      <rPr>
        <b/>
        <sz val="12"/>
        <color theme="1"/>
        <rFont val="Times New Roman"/>
        <family val="1"/>
      </rPr>
      <t>=1</t>
    </r>
  </si>
  <si>
    <r>
      <t>M</t>
    </r>
    <r>
      <rPr>
        <b/>
        <vertAlign val="subscript"/>
        <sz val="12"/>
        <color theme="1"/>
        <rFont val="Times New Roman"/>
        <family val="1"/>
      </rPr>
      <t>ce,sup,T</t>
    </r>
  </si>
  <si>
    <r>
      <t>M</t>
    </r>
    <r>
      <rPr>
        <b/>
        <vertAlign val="subscript"/>
        <sz val="12"/>
        <color theme="1"/>
        <rFont val="Times New Roman"/>
        <family val="1"/>
      </rPr>
      <t>x,sup,T</t>
    </r>
  </si>
  <si>
    <r>
      <t>N*/N</t>
    </r>
    <r>
      <rPr>
        <b/>
        <vertAlign val="subscript"/>
        <sz val="12"/>
        <color theme="1"/>
        <rFont val="Times New Roman"/>
        <family val="1"/>
      </rPr>
      <t>cl,T</t>
    </r>
    <r>
      <rPr>
        <b/>
        <sz val="12"/>
        <color theme="1"/>
        <rFont val="Times New Roman"/>
        <family val="1"/>
      </rPr>
      <t>+M*</t>
    </r>
    <r>
      <rPr>
        <b/>
        <vertAlign val="subscript"/>
        <sz val="12"/>
        <color theme="1"/>
        <rFont val="Times New Roman"/>
        <family val="1"/>
      </rPr>
      <t>sup</t>
    </r>
    <r>
      <rPr>
        <b/>
        <sz val="12"/>
        <color theme="1"/>
        <rFont val="Times New Roman"/>
        <family val="1"/>
      </rPr>
      <t>/M</t>
    </r>
    <r>
      <rPr>
        <b/>
        <vertAlign val="subscript"/>
        <sz val="12"/>
        <color theme="1"/>
        <rFont val="Times New Roman"/>
        <family val="1"/>
      </rPr>
      <t>x,sup,T</t>
    </r>
    <r>
      <rPr>
        <b/>
        <sz val="12"/>
        <color theme="1"/>
        <rFont val="Times New Roman"/>
        <family val="1"/>
      </rPr>
      <t>=1</t>
    </r>
  </si>
  <si>
    <t>Local buckling moment factor at ambient temperature</t>
  </si>
  <si>
    <r>
      <t>A</t>
    </r>
    <r>
      <rPr>
        <b/>
        <vertAlign val="subscript"/>
        <sz val="12"/>
        <color theme="1"/>
        <rFont val="Times New Roman"/>
        <family val="1"/>
      </rPr>
      <t>T</t>
    </r>
  </si>
  <si>
    <r>
      <t>Y</t>
    </r>
    <r>
      <rPr>
        <b/>
        <vertAlign val="subscript"/>
        <sz val="12"/>
        <color theme="1"/>
        <rFont val="Times New Roman"/>
        <family val="1"/>
      </rPr>
      <t>T</t>
    </r>
  </si>
  <si>
    <t>3. Load Factors from Elastic buckling Analysis - Compression Member</t>
  </si>
  <si>
    <t>Screw Spacing</t>
  </si>
  <si>
    <r>
      <t>L</t>
    </r>
    <r>
      <rPr>
        <b/>
        <vertAlign val="subscript"/>
        <sz val="12"/>
        <color theme="1"/>
        <rFont val="Times New Roman"/>
        <family val="1"/>
      </rPr>
      <t>y</t>
    </r>
  </si>
  <si>
    <r>
      <t>L</t>
    </r>
    <r>
      <rPr>
        <b/>
        <vertAlign val="subscript"/>
        <sz val="12"/>
        <color theme="1"/>
        <rFont val="Times New Roman"/>
        <family val="1"/>
      </rPr>
      <t>x</t>
    </r>
  </si>
  <si>
    <t>Critical Stress</t>
  </si>
  <si>
    <t>4. Section Properties</t>
  </si>
  <si>
    <r>
      <t>I</t>
    </r>
    <r>
      <rPr>
        <b/>
        <vertAlign val="subscript"/>
        <sz val="12"/>
        <color theme="1"/>
        <rFont val="Times New Roman"/>
        <family val="1"/>
      </rPr>
      <t>yy</t>
    </r>
  </si>
  <si>
    <t>Second Moment of Area about Major Axis (y-axis)</t>
  </si>
  <si>
    <t xml:space="preserve">Elastic flexural buckling stress about the major axis </t>
  </si>
  <si>
    <t xml:space="preserve">Elastic flexural buckling stress about the minor axis </t>
  </si>
  <si>
    <t>Elastic flexural buckling stress</t>
  </si>
  <si>
    <t xml:space="preserve">Elastic flexural buckling load </t>
  </si>
  <si>
    <t>N</t>
  </si>
  <si>
    <t>Nominal yeild load</t>
  </si>
  <si>
    <t>Elastic Local buckling load</t>
  </si>
  <si>
    <r>
      <t>N</t>
    </r>
    <r>
      <rPr>
        <b/>
        <vertAlign val="subscript"/>
        <sz val="12"/>
        <color theme="1"/>
        <rFont val="Times New Roman"/>
        <family val="1"/>
      </rPr>
      <t>y,20</t>
    </r>
  </si>
  <si>
    <r>
      <t>N</t>
    </r>
    <r>
      <rPr>
        <b/>
        <vertAlign val="subscript"/>
        <sz val="12"/>
        <color theme="1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</si>
  <si>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oc,20</t>
    </r>
  </si>
  <si>
    <r>
      <t>f</t>
    </r>
    <r>
      <rPr>
        <b/>
        <vertAlign val="subscript"/>
        <sz val="12"/>
        <rFont val="Times New Roman"/>
        <family val="1"/>
      </rPr>
      <t>oy,20</t>
    </r>
  </si>
  <si>
    <r>
      <t>f</t>
    </r>
    <r>
      <rPr>
        <b/>
        <vertAlign val="subscript"/>
        <sz val="12"/>
        <rFont val="Times New Roman"/>
        <family val="1"/>
      </rPr>
      <t>ox,20</t>
    </r>
  </si>
  <si>
    <r>
      <t>Local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</si>
  <si>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t>Radius of gyration about major axis</t>
  </si>
  <si>
    <t>Radius of gyration about minor axis</t>
  </si>
  <si>
    <t>Mpa</t>
  </si>
  <si>
    <r>
      <t>Distortional buckling load factor at ambient temperature (20</t>
    </r>
    <r>
      <rPr>
        <vertAlign val="superscript"/>
        <sz val="12"/>
        <color theme="1"/>
        <rFont val="Times New Roman"/>
        <family val="1"/>
      </rPr>
      <t>o</t>
    </r>
    <r>
      <rPr>
        <sz val="12"/>
        <color theme="1"/>
        <rFont val="Times New Roman"/>
        <family val="1"/>
      </rPr>
      <t>C)</t>
    </r>
  </si>
  <si>
    <r>
      <t xml:space="preserve">DIRECT STRENGTH METHOD (DSM) </t>
    </r>
    <r>
      <rPr>
        <b/>
        <sz val="12"/>
        <color theme="1"/>
        <rFont val="Times New Roman"/>
        <family val="1"/>
      </rPr>
      <t>- AS4600 (SA, 2005)</t>
    </r>
  </si>
  <si>
    <r>
      <t>r</t>
    </r>
    <r>
      <rPr>
        <b/>
        <vertAlign val="subscript"/>
        <sz val="12"/>
        <color theme="1"/>
        <rFont val="Times New Roman"/>
        <family val="1"/>
      </rPr>
      <t>x</t>
    </r>
  </si>
  <si>
    <r>
      <t>r</t>
    </r>
    <r>
      <rPr>
        <b/>
        <vertAlign val="subscript"/>
        <sz val="12"/>
        <color theme="1"/>
        <rFont val="Times New Roman"/>
        <family val="1"/>
      </rPr>
      <t>y</t>
    </r>
  </si>
  <si>
    <r>
      <t>N</t>
    </r>
    <r>
      <rPr>
        <b/>
        <vertAlign val="subscript"/>
        <sz val="12"/>
        <color theme="1"/>
        <rFont val="Times New Roman"/>
        <family val="1"/>
      </rPr>
      <t>od,20</t>
    </r>
  </si>
  <si>
    <r>
      <t>λ</t>
    </r>
    <r>
      <rPr>
        <b/>
        <vertAlign val="subscript"/>
        <sz val="12"/>
        <color theme="1"/>
        <rFont val="Times New Roman"/>
        <family val="1"/>
      </rPr>
      <t>d</t>
    </r>
  </si>
  <si>
    <t>Elastic distortional buckling load</t>
  </si>
  <si>
    <r>
      <t>2.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</si>
  <si>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r>
      <t>5. Flexural Buckling Capacity (N</t>
    </r>
    <r>
      <rPr>
        <b/>
        <u/>
        <vertAlign val="subscript"/>
        <sz val="12"/>
        <color theme="1"/>
        <rFont val="Times New Roman"/>
        <family val="1"/>
      </rPr>
      <t>ce</t>
    </r>
    <r>
      <rPr>
        <b/>
        <u/>
        <sz val="12"/>
        <color theme="1"/>
        <rFont val="Times New Roman"/>
        <family val="1"/>
      </rPr>
      <t>)</t>
    </r>
  </si>
  <si>
    <r>
      <t>6. Local Buckling Capacity (N</t>
    </r>
    <r>
      <rPr>
        <b/>
        <u/>
        <vertAlign val="subscript"/>
        <sz val="12"/>
        <color theme="1"/>
        <rFont val="Times New Roman"/>
        <family val="1"/>
      </rPr>
      <t>cl</t>
    </r>
    <r>
      <rPr>
        <b/>
        <u/>
        <sz val="12"/>
        <color theme="1"/>
        <rFont val="Times New Roman"/>
        <family val="1"/>
      </rPr>
      <t>)</t>
    </r>
  </si>
  <si>
    <r>
      <t>7. Distortional Buckling Capacity (N</t>
    </r>
    <r>
      <rPr>
        <b/>
        <u/>
        <vertAlign val="subscript"/>
        <sz val="12"/>
        <color theme="1"/>
        <rFont val="Times New Roman"/>
        <family val="1"/>
      </rPr>
      <t>cd</t>
    </r>
    <r>
      <rPr>
        <b/>
        <u/>
        <sz val="12"/>
        <color theme="1"/>
        <rFont val="Times New Roman"/>
        <family val="1"/>
      </rPr>
      <t>)</t>
    </r>
  </si>
  <si>
    <r>
      <t>N</t>
    </r>
    <r>
      <rPr>
        <b/>
        <vertAlign val="subscript"/>
        <sz val="12"/>
        <color rgb="FFC00000"/>
        <rFont val="Times New Roman"/>
        <family val="1"/>
      </rPr>
      <t>ce,20</t>
    </r>
  </si>
  <si>
    <r>
      <t>N</t>
    </r>
    <r>
      <rPr>
        <b/>
        <vertAlign val="subscript"/>
        <sz val="12"/>
        <color rgb="FFC00000"/>
        <rFont val="Times New Roman"/>
        <family val="1"/>
      </rPr>
      <t>cl,20</t>
    </r>
  </si>
  <si>
    <r>
      <t>N</t>
    </r>
    <r>
      <rPr>
        <b/>
        <vertAlign val="subscript"/>
        <sz val="12"/>
        <color rgb="FFC00000"/>
        <rFont val="Times New Roman"/>
        <family val="1"/>
      </rPr>
      <t>cd,20</t>
    </r>
  </si>
  <si>
    <t>Elastic Modulus at elevated temperature</t>
  </si>
  <si>
    <t>Yield Stregnth at elevated temperature</t>
  </si>
  <si>
    <t>Section Modulus at ambient temperature</t>
  </si>
  <si>
    <t>Stud mid-web temperature</t>
  </si>
  <si>
    <t>4. Section properties/stud mid-web temperature</t>
  </si>
  <si>
    <r>
      <t>5. Critical Buckling loads/moment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</si>
  <si>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Nominal Member Compression Capacity</t>
  </si>
  <si>
    <t>Ultimate Capacity of the Stud at Ambient Temperature (Nominal Value)</t>
  </si>
  <si>
    <t>Ultimate Capacity at Support</t>
  </si>
  <si>
    <t>Ultimate Capacity at Mid-height</t>
  </si>
  <si>
    <t>6. Mechanical Properties at Elevated temperature</t>
  </si>
  <si>
    <t>7. Thermal Bowing and Neutral Axis Shift</t>
  </si>
  <si>
    <t>7.1. Thermal Bowing</t>
  </si>
  <si>
    <t>7.2. Neutral Axis Shift</t>
  </si>
  <si>
    <t>8. Element stiffness about major axis (x-axis)</t>
  </si>
  <si>
    <t>9. Column capacity at elevated temperature</t>
  </si>
  <si>
    <t>9.1 Critical buckling loads</t>
  </si>
  <si>
    <t>9.3. Local buckling capacity</t>
  </si>
  <si>
    <t>9.2 Flexural buckling capacity</t>
  </si>
  <si>
    <t>10. Section Moment capacity at elevated temperature (based on mid-web temperature)</t>
  </si>
  <si>
    <t>10.1.At mid-height</t>
  </si>
  <si>
    <t>10.2. At Support</t>
  </si>
  <si>
    <t>3. Load/Moment Factors from Elastic Buckling Analysis</t>
  </si>
  <si>
    <t>Stud Web Depth (Centreline Dimension)</t>
  </si>
  <si>
    <t>Stud Flange Width (Centreline Dimension)</t>
  </si>
  <si>
    <t>Stud Lip length (Centreline Dimension)</t>
  </si>
  <si>
    <r>
      <t>3. Mechanical Properties at Ambient Temperature (20</t>
    </r>
    <r>
      <rPr>
        <b/>
        <u/>
        <vertAlign val="superscript"/>
        <sz val="12"/>
        <color theme="1"/>
        <rFont val="Times New Roman"/>
        <family val="1"/>
      </rPr>
      <t>o</t>
    </r>
    <r>
      <rPr>
        <b/>
        <u/>
        <sz val="12"/>
        <color theme="1"/>
        <rFont val="Times New Roman"/>
        <family val="1"/>
      </rPr>
      <t>C)</t>
    </r>
  </si>
  <si>
    <t>4. Load/Moment Factors from Elastic Buckling Analysis</t>
  </si>
  <si>
    <t>Time</t>
  </si>
  <si>
    <t>Time (min)</t>
  </si>
  <si>
    <t>Stud Temperatures</t>
  </si>
  <si>
    <t>Load Ratio</t>
  </si>
  <si>
    <t>min</t>
  </si>
  <si>
    <t>Ref: DSM Ambient</t>
  </si>
  <si>
    <t>Ref: Sheet 1</t>
  </si>
  <si>
    <t>Ref: Sheet 2</t>
  </si>
  <si>
    <t>Ref: Sheet 3</t>
  </si>
  <si>
    <t>Ref: Sheet 4</t>
  </si>
  <si>
    <t>Ref: Sheet 5</t>
  </si>
  <si>
    <t>Ref: Sheet 6</t>
  </si>
  <si>
    <t>Ref: Sheet 7</t>
  </si>
  <si>
    <t>Ref: Sheet 8</t>
  </si>
  <si>
    <t>Ref: Sheet 9</t>
  </si>
  <si>
    <t>Ref: Sheet 10</t>
  </si>
  <si>
    <t>NOTES:</t>
  </si>
  <si>
    <r>
      <t>mm</t>
    </r>
    <r>
      <rPr>
        <b/>
        <vertAlign val="superscript"/>
        <sz val="12"/>
        <color theme="1"/>
        <rFont val="Times New Roman"/>
        <family val="1"/>
      </rPr>
      <t>2</t>
    </r>
  </si>
  <si>
    <r>
      <t>mm</t>
    </r>
    <r>
      <rPr>
        <b/>
        <vertAlign val="superscript"/>
        <sz val="12"/>
        <color theme="1"/>
        <rFont val="Times New Roman"/>
        <family val="1"/>
      </rPr>
      <t>4</t>
    </r>
  </si>
  <si>
    <t>Ultimate Axial Compression Capacity of the Stud (kN)</t>
  </si>
  <si>
    <r>
      <t>1. Stud axial compression capacity at ambient temperature (20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 xml:space="preserve">C) </t>
    </r>
  </si>
  <si>
    <t>-</t>
  </si>
  <si>
    <t>Input parameters</t>
  </si>
  <si>
    <t xml:space="preserve">Output </t>
  </si>
  <si>
    <t>Distortional buckling capacity</t>
  </si>
  <si>
    <t>Ultimate Capacity of the Stud at Ambient Temperature (Nominal Value) - Flexural and Local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</si>
</sst>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E+00"/>
    <numFmt numFmtId="167" formatCode="0.0000000E+00"/>
  </numFmts>
  <fonts count="21" x14ac:knownFonts="1">
    <font>
      <sz val="11"/>
      <color theme="1"/>
      <name val="Calibri"/>
      <family val="2"/>
      <scheme val="minor"/>
    </font>
    <font>
      <b/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vertAlign val="subscript"/>
      <sz val="12"/>
      <name val="Times New Roman"/>
      <family val="1"/>
    </font>
    <font>
      <b/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b/>
      <u/>
      <vertAlign val="superscript"/>
      <sz val="12"/>
      <color theme="1"/>
      <name val="Times New Roman"/>
      <family val="1"/>
    </font>
    <font>
      <b/>
      <u/>
      <vertAlign val="subscript"/>
      <sz val="12"/>
      <color theme="1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  <font>
      <b/>
      <vertAlign val="subscript"/>
      <sz val="12"/>
      <color rgb="FFC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C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5" borderId="0" xfId="0" applyFont="1" applyFill="1"/>
    <xf numFmtId="0" fontId="3" fillId="5" borderId="0" xfId="0" applyFont="1" applyFill="1"/>
    <xf numFmtId="0" fontId="3" fillId="2" borderId="0" xfId="0" applyFont="1" applyFill="1"/>
    <xf numFmtId="2" fontId="3" fillId="0" borderId="0" xfId="0" applyNumberFormat="1" applyFont="1"/>
    <xf numFmtId="2" fontId="6" fillId="0" borderId="0" xfId="0" applyNumberFormat="1" applyFont="1"/>
    <xf numFmtId="3" fontId="3" fillId="0" borderId="0" xfId="0" applyNumberFormat="1" applyFont="1"/>
    <xf numFmtId="2" fontId="3" fillId="0" borderId="0" xfId="0" applyNumberFormat="1" applyFont="1" applyAlignment="1">
      <alignment horizontal="right"/>
    </xf>
    <xf numFmtId="1" fontId="3" fillId="0" borderId="0" xfId="0" applyNumberFormat="1" applyFont="1"/>
    <xf numFmtId="11" fontId="3" fillId="0" borderId="0" xfId="0" applyNumberFormat="1" applyFont="1"/>
    <xf numFmtId="0" fontId="7" fillId="0" borderId="0" xfId="0" applyFont="1"/>
    <xf numFmtId="164" fontId="3" fillId="0" borderId="0" xfId="0" applyNumberFormat="1" applyFont="1"/>
    <xf numFmtId="2" fontId="7" fillId="0" borderId="0" xfId="0" applyNumberFormat="1" applyFont="1"/>
    <xf numFmtId="165" fontId="3" fillId="0" borderId="0" xfId="0" applyNumberFormat="1" applyFont="1"/>
    <xf numFmtId="2" fontId="2" fillId="4" borderId="0" xfId="0" applyNumberFormat="1" applyFont="1" applyFill="1"/>
    <xf numFmtId="2" fontId="2" fillId="0" borderId="0" xfId="0" applyNumberFormat="1" applyFont="1"/>
    <xf numFmtId="0" fontId="2" fillId="4" borderId="0" xfId="0" applyFont="1" applyFill="1"/>
    <xf numFmtId="0" fontId="3" fillId="0" borderId="0" xfId="0" applyFont="1" applyAlignment="1">
      <alignment horizontal="center"/>
    </xf>
    <xf numFmtId="0" fontId="1" fillId="5" borderId="0" xfId="0" applyFont="1" applyFill="1"/>
    <xf numFmtId="3" fontId="3" fillId="2" borderId="0" xfId="0" applyNumberFormat="1" applyFont="1" applyFill="1"/>
    <xf numFmtId="3" fontId="6" fillId="0" borderId="0" xfId="0" applyNumberFormat="1" applyFont="1"/>
    <xf numFmtId="165" fontId="3" fillId="2" borderId="0" xfId="0" applyNumberFormat="1" applyFont="1" applyFill="1"/>
    <xf numFmtId="0" fontId="9" fillId="4" borderId="0" xfId="0" applyFont="1" applyFill="1" applyAlignment="1">
      <alignment horizontal="left" vertical="center"/>
    </xf>
    <xf numFmtId="0" fontId="14" fillId="4" borderId="0" xfId="0" applyFont="1" applyFill="1"/>
    <xf numFmtId="3" fontId="14" fillId="4" borderId="0" xfId="0" applyNumberFormat="1" applyFont="1" applyFill="1"/>
    <xf numFmtId="2" fontId="9" fillId="4" borderId="0" xfId="0" applyNumberFormat="1" applyFont="1" applyFill="1" applyAlignment="1">
      <alignment horizontal="right" vertical="center"/>
    </xf>
    <xf numFmtId="4" fontId="9" fillId="4" borderId="0" xfId="0" applyNumberFormat="1" applyFont="1" applyFill="1" applyAlignment="1">
      <alignment horizontal="left" vertical="center"/>
    </xf>
    <xf numFmtId="2" fontId="14" fillId="4" borderId="0" xfId="0" applyNumberFormat="1" applyFont="1" applyFill="1"/>
    <xf numFmtId="2" fontId="13" fillId="4" borderId="0" xfId="0" applyNumberFormat="1" applyFont="1" applyFill="1"/>
    <xf numFmtId="4" fontId="9" fillId="4" borderId="0" xfId="0" applyNumberFormat="1" applyFont="1" applyFill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165" fontId="2" fillId="7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/>
    <xf numFmtId="3" fontId="2" fillId="2" borderId="0" xfId="0" applyNumberFormat="1" applyFont="1" applyFill="1"/>
    <xf numFmtId="165" fontId="2" fillId="2" borderId="0" xfId="0" applyNumberFormat="1" applyFont="1" applyFill="1"/>
    <xf numFmtId="3" fontId="2" fillId="2" borderId="1" xfId="0" applyNumberFormat="1" applyFont="1" applyFill="1" applyBorder="1" applyAlignment="1">
      <alignment horizontal="center"/>
    </xf>
    <xf numFmtId="0" fontId="20" fillId="6" borderId="0" xfId="0" applyFont="1" applyFill="1"/>
    <xf numFmtId="3" fontId="20" fillId="6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17" fillId="0" borderId="0" xfId="0" applyFont="1"/>
    <xf numFmtId="0" fontId="16" fillId="0" borderId="0" xfId="0" applyFont="1"/>
    <xf numFmtId="0" fontId="2" fillId="0" borderId="1" xfId="0" applyFont="1" applyBorder="1" applyAlignment="1">
      <alignment horizontal="center" vertical="center"/>
    </xf>
    <xf numFmtId="3" fontId="2" fillId="7" borderId="1" xfId="0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2" fontId="2" fillId="2" borderId="0" xfId="0" applyNumberFormat="1" applyFont="1" applyFill="1"/>
    <xf numFmtId="165" fontId="3" fillId="0" borderId="0" xfId="0" applyNumberFormat="1" applyFont="1" applyAlignment="1">
      <alignment horizontal="right"/>
    </xf>
    <xf numFmtId="166" fontId="3" fillId="0" borderId="0" xfId="0" applyNumberFormat="1" applyFont="1"/>
    <xf numFmtId="167" fontId="3" fillId="0" borderId="0" xfId="0" applyNumberFormat="1" applyFont="1"/>
    <xf numFmtId="3" fontId="0" fillId="0" borderId="0" xfId="0" applyNumberFormat="1"/>
    <xf numFmtId="0" fontId="17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9" fillId="4" borderId="0" xfId="0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right" vertical="center"/>
    </xf>
    <xf numFmtId="2" fontId="10" fillId="3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9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87248380885699"/>
          <c:y val="0.10208987123923709"/>
          <c:w val="0.7446150383836363"/>
          <c:h val="0.69722459457459662"/>
        </c:manualLayout>
      </c:layout>
      <c:scatterChart>
        <c:scatterStyle val="lineMarker"/>
        <c:varyColors val="0"/>
        <c:ser>
          <c:idx val="1"/>
          <c:order val="0"/>
          <c:tx>
            <c:v>DSM - Draft AS/NZS 4600 (2017)</c:v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diamond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'Input-Output Screen'!$F$6:$F$16</c:f>
              <c:numCache>
                <c:formatCode>#,##0</c:formatCode>
                <c:ptCount val="1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75</c:v>
                </c:pt>
                <c:pt idx="4">
                  <c:v>81</c:v>
                </c:pt>
                <c:pt idx="5">
                  <c:v>90</c:v>
                </c:pt>
                <c:pt idx="6">
                  <c:v>110</c:v>
                </c:pt>
                <c:pt idx="7">
                  <c:v>114</c:v>
                </c:pt>
                <c:pt idx="8">
                  <c:v>120</c:v>
                </c:pt>
                <c:pt idx="9">
                  <c:v>130</c:v>
                </c:pt>
                <c:pt idx="10">
                  <c:v>132</c:v>
                </c:pt>
              </c:numCache>
            </c:numRef>
          </c:xVal>
          <c:yVal>
            <c:numRef>
              <c:f>'Input-Output Screen'!$J$6:$J$16</c:f>
              <c:numCache>
                <c:formatCode>0.000</c:formatCode>
                <c:ptCount val="11"/>
                <c:pt idx="0">
                  <c:v>1</c:v>
                </c:pt>
                <c:pt idx="1">
                  <c:v>0.6309342519165585</c:v>
                </c:pt>
                <c:pt idx="2">
                  <c:v>0.5587155371694158</c:v>
                </c:pt>
                <c:pt idx="3">
                  <c:v>0.43473119631988227</c:v>
                </c:pt>
                <c:pt idx="4">
                  <c:v>0.37415848712869199</c:v>
                </c:pt>
                <c:pt idx="5">
                  <c:v>0.30691240553750238</c:v>
                </c:pt>
                <c:pt idx="6">
                  <c:v>0.29971938999887465</c:v>
                </c:pt>
                <c:pt idx="7">
                  <c:v>0.28649912193810301</c:v>
                </c:pt>
                <c:pt idx="8">
                  <c:v>0.24840652533783317</c:v>
                </c:pt>
                <c:pt idx="9">
                  <c:v>0.20861496955838016</c:v>
                </c:pt>
                <c:pt idx="10">
                  <c:v>0.19840206064380017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81-4266-8DC4-DEC613D9BDAA}"/>
            </c:ext>
          </c:extLst>
        </c:ser>
        <c:ser>
          <c:idx val="0"/>
          <c:order val="1"/>
          <c:tx>
            <c:v>Experiment</c:v>
          </c:tx>
          <c:xVal>
            <c:numRef>
              <c:f>'Input-Output Screen'!$Q$27:$Q$28</c:f>
              <c:numCache>
                <c:formatCode>General</c:formatCode>
                <c:ptCount val="2"/>
                <c:pt idx="0">
                  <c:v>0</c:v>
                </c:pt>
                <c:pt idx="1">
                  <c:v>132</c:v>
                </c:pt>
              </c:numCache>
            </c:numRef>
          </c:xVal>
          <c:yVal>
            <c:numRef>
              <c:f>'Input-Output Screen'!$R$27:$R$28</c:f>
              <c:numCache>
                <c:formatCode>General</c:formatCode>
                <c:ptCount val="2"/>
                <c:pt idx="0">
                  <c:v>0.4</c:v>
                </c:pt>
                <c:pt idx="1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5-4F2F-AF43-F05DCFAC71F6}"/>
            </c:ext>
          </c:extLst>
        </c:ser>
        <c:ser>
          <c:idx val="2"/>
          <c:order val="2"/>
          <c:tx>
            <c:v>y line</c:v>
          </c:tx>
          <c:xVal>
            <c:numRef>
              <c:f>'Input-Output Screen'!$Q$31:$Q$32</c:f>
              <c:numCache>
                <c:formatCode>General</c:formatCode>
                <c:ptCount val="2"/>
                <c:pt idx="0">
                  <c:v>114</c:v>
                </c:pt>
                <c:pt idx="1">
                  <c:v>114</c:v>
                </c:pt>
              </c:numCache>
            </c:numRef>
          </c:xVal>
          <c:yVal>
            <c:numRef>
              <c:f>'Input-Output Screen'!$R$31:$R$32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F-4AFD-8E3E-F0B03BB40276}"/>
            </c:ext>
          </c:extLst>
        </c:ser>
        <c:ser>
          <c:idx val="3"/>
          <c:order val="3"/>
          <c:tx>
            <c:v>y2</c:v>
          </c:tx>
          <c:xVal>
            <c:numRef>
              <c:f>'Input-Output Screen'!$Q$35:$Q$36</c:f>
              <c:numCache>
                <c:formatCode>General</c:formatCode>
                <c:ptCount val="2"/>
                <c:pt idx="0">
                  <c:v>0</c:v>
                </c:pt>
                <c:pt idx="1">
                  <c:v>81</c:v>
                </c:pt>
              </c:numCache>
            </c:numRef>
          </c:xVal>
          <c:yVal>
            <c:numRef>
              <c:f>'Input-Output Screen'!$R$35:$R$36</c:f>
              <c:numCache>
                <c:formatCode>General</c:formatCode>
                <c:ptCount val="2"/>
                <c:pt idx="0">
                  <c:v>0.52610000000000001</c:v>
                </c:pt>
                <c:pt idx="1">
                  <c:v>0.52610000000000001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1F-4AFD-8E3E-F0B03BB40276}"/>
            </c:ext>
          </c:extLst>
        </c:ser>
        <c:ser>
          <c:idx val="4"/>
          <c:order val="4"/>
          <c:xVal>
            <c:numRef>
              <c:f>'Input-Output Screen'!$T$35:$T$36</c:f>
              <c:numCache>
                <c:formatCode>General</c:formatCode>
                <c:ptCount val="2"/>
                <c:pt idx="0">
                  <c:v>74</c:v>
                </c:pt>
                <c:pt idx="1">
                  <c:v>74</c:v>
                </c:pt>
              </c:numCache>
            </c:numRef>
          </c:xVal>
          <c:yVal>
            <c:numRef>
              <c:f>'Input-Output Screen'!$U$35:$U$36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1F-4AFD-8E3E-F0B03BB40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69856"/>
        <c:axId val="150172416"/>
      </c:scatterChart>
      <c:valAx>
        <c:axId val="150169856"/>
        <c:scaling>
          <c:orientation val="minMax"/>
        </c:scaling>
        <c:delete val="0"/>
        <c:axPos val="b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Time (min)</a:t>
                </a:r>
              </a:p>
            </c:rich>
          </c:tx>
          <c:layout>
            <c:manualLayout>
              <c:xMode val="edge"/>
              <c:yMode val="edge"/>
              <c:x val="0.76923932884899116"/>
              <c:y val="0.8626204945469103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noFill/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 rot="0" vert="horz"/>
          <a:lstStyle/>
          <a:p>
            <a:pPr>
              <a:defRPr b="1"/>
            </a:pPr>
            <a:endParaRPr lang="en-US"/>
          </a:p>
        </c:txPr>
        <c:crossAx val="150172416"/>
        <c:crosses val="autoZero"/>
        <c:crossBetween val="midCat"/>
        <c:majorUnit val="10"/>
      </c:valAx>
      <c:valAx>
        <c:axId val="150172416"/>
        <c:scaling>
          <c:orientation val="minMax"/>
          <c:max val="1.2"/>
          <c:min val="0"/>
        </c:scaling>
        <c:delete val="0"/>
        <c:axPos val="l"/>
        <c:majorGridlines>
          <c:spPr>
            <a:ln w="6350"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minorGridlines>
          <c:spPr>
            <a:ln>
              <a:solidFill>
                <a:schemeClr val="bg1">
                  <a:lumMod val="50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AU" sz="1200"/>
                  <a:t>Load Ratio</a:t>
                </a:r>
              </a:p>
            </c:rich>
          </c:tx>
          <c:layout>
            <c:manualLayout>
              <c:xMode val="edge"/>
              <c:yMode val="edge"/>
              <c:x val="3.9615319696931814E-2"/>
              <c:y val="0.3239413353315742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spPr>
          <a:ln w="6350" cmpd="sng">
            <a:solidFill>
              <a:schemeClr val="tx1">
                <a:lumMod val="95000"/>
                <a:lumOff val="5000"/>
              </a:schemeClr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150169856"/>
        <c:crosses val="autoZero"/>
        <c:crossBetween val="midCat"/>
        <c:majorUnit val="0.1"/>
        <c:minorUnit val="0.1"/>
      </c:valAx>
    </c:plotArea>
    <c:legend>
      <c:legendPos val="b"/>
      <c:layout>
        <c:manualLayout>
          <c:xMode val="edge"/>
          <c:yMode val="edge"/>
          <c:x val="0.1623099512865368"/>
          <c:y val="0.88684739409367452"/>
          <c:w val="0.83768997057186034"/>
          <c:h val="5.3874337573395055E-2"/>
        </c:manualLayout>
      </c:layout>
      <c:overlay val="0"/>
      <c:txPr>
        <a:bodyPr/>
        <a:lstStyle/>
        <a:p>
          <a:pPr>
            <a:defRPr b="1"/>
          </a:pPr>
          <a:endParaRPr lang="en-US"/>
        </a:p>
      </c:txPr>
    </c:legend>
    <c:plotVisOnly val="1"/>
    <c:dispBlanksAs val="gap"/>
    <c:showDLblsOverMax val="0"/>
  </c:chart>
  <c:spPr>
    <a:gradFill>
      <a:gsLst>
        <a:gs pos="0">
          <a:schemeClr val="accent2">
            <a:lumMod val="20000"/>
            <a:lumOff val="80000"/>
          </a:schemeClr>
        </a:gs>
        <a:gs pos="74000">
          <a:schemeClr val="accent2">
            <a:lumMod val="40000"/>
            <a:lumOff val="60000"/>
          </a:schemeClr>
        </a:gs>
        <a:gs pos="83000">
          <a:schemeClr val="accent2">
            <a:lumMod val="40000"/>
            <a:lumOff val="60000"/>
          </a:schemeClr>
        </a:gs>
        <a:gs pos="100000">
          <a:schemeClr val="accent2">
            <a:lumMod val="75000"/>
          </a:schemeClr>
        </a:gs>
      </a:gsLst>
      <a:lin ang="5400000" scaled="1"/>
    </a:gradFill>
    <a:ln>
      <a:noFill/>
    </a:ln>
  </c:spPr>
  <c:txPr>
    <a:bodyPr/>
    <a:lstStyle/>
    <a:p>
      <a:pPr>
        <a:defRPr sz="1200">
          <a:latin typeface="Times New Roman" pitchFamily="18" charset="0"/>
          <a:cs typeface="Times New Roman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039971" y="4045323"/>
    <xdr:ext cx="6286500" cy="45159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U36"/>
  <sheetViews>
    <sheetView tabSelected="1" zoomScale="85" zoomScaleNormal="85" workbookViewId="0">
      <selection activeCell="S17" sqref="S17"/>
    </sheetView>
  </sheetViews>
  <sheetFormatPr defaultRowHeight="15" x14ac:dyDescent="0.25"/>
  <cols>
    <col min="1" max="1" width="63.42578125" customWidth="1"/>
    <col min="2" max="2" width="4.7109375" bestFit="1" customWidth="1"/>
    <col min="3" max="3" width="11.28515625" bestFit="1" customWidth="1"/>
    <col min="4" max="4" width="6.42578125" customWidth="1"/>
    <col min="5" max="5" width="4.85546875" customWidth="1"/>
    <col min="6" max="6" width="13" customWidth="1"/>
    <col min="7" max="7" width="11" customWidth="1"/>
    <col min="8" max="8" width="10.85546875" customWidth="1"/>
    <col min="9" max="9" width="30.28515625" customWidth="1"/>
    <col min="10" max="10" width="10.5703125" customWidth="1"/>
    <col min="11" max="11" width="18.7109375" customWidth="1"/>
    <col min="12" max="12" width="5.42578125" customWidth="1"/>
    <col min="13" max="13" width="3.42578125" customWidth="1"/>
    <col min="15" max="15" width="3.5703125" customWidth="1"/>
  </cols>
  <sheetData>
    <row r="1" spans="1:19" ht="21" customHeight="1" x14ac:dyDescent="0.25">
      <c r="A1" s="1" t="s">
        <v>47</v>
      </c>
      <c r="B1" s="2"/>
      <c r="C1" s="3"/>
      <c r="D1" s="3"/>
      <c r="E1" s="3"/>
    </row>
    <row r="2" spans="1:19" ht="21" customHeight="1" x14ac:dyDescent="0.25">
      <c r="A2" s="2" t="s">
        <v>0</v>
      </c>
      <c r="B2" s="2"/>
      <c r="C2" s="3"/>
      <c r="D2" s="3"/>
      <c r="E2" s="3"/>
    </row>
    <row r="3" spans="1:19" ht="21" customHeight="1" x14ac:dyDescent="0.25">
      <c r="A3" s="3"/>
      <c r="B3" s="2"/>
      <c r="C3" s="3"/>
      <c r="D3" s="3"/>
      <c r="E3" s="3"/>
      <c r="F3" s="56" t="s">
        <v>173</v>
      </c>
      <c r="G3" s="56" t="s">
        <v>174</v>
      </c>
      <c r="H3" s="56"/>
      <c r="I3" s="57" t="s">
        <v>191</v>
      </c>
      <c r="J3" s="57" t="s">
        <v>175</v>
      </c>
      <c r="M3" s="58" t="s">
        <v>188</v>
      </c>
      <c r="N3" s="58"/>
      <c r="O3" s="58"/>
      <c r="P3" s="58"/>
      <c r="Q3" s="58"/>
      <c r="R3" s="58"/>
      <c r="S3" s="58"/>
    </row>
    <row r="4" spans="1:19" ht="18.75" customHeight="1" x14ac:dyDescent="0.25">
      <c r="A4" s="21" t="s">
        <v>24</v>
      </c>
      <c r="B4" s="4"/>
      <c r="C4" s="5"/>
      <c r="D4" s="5"/>
      <c r="E4" s="3"/>
      <c r="F4" s="56"/>
      <c r="G4" s="56"/>
      <c r="H4" s="56"/>
      <c r="I4" s="57"/>
      <c r="J4" s="57"/>
      <c r="M4" s="58"/>
      <c r="N4" s="58"/>
      <c r="O4" s="58"/>
      <c r="P4" s="58"/>
      <c r="Q4" s="58"/>
      <c r="R4" s="58"/>
      <c r="S4" s="58"/>
    </row>
    <row r="5" spans="1:19" ht="18.75" customHeight="1" x14ac:dyDescent="0.25">
      <c r="A5" s="5" t="s">
        <v>167</v>
      </c>
      <c r="B5" s="4" t="s">
        <v>1</v>
      </c>
      <c r="C5" s="38">
        <v>67.05</v>
      </c>
      <c r="D5" s="4" t="s">
        <v>2</v>
      </c>
      <c r="E5" s="3"/>
      <c r="F5" s="56"/>
      <c r="G5" s="47" t="s">
        <v>12</v>
      </c>
      <c r="H5" s="47" t="s">
        <v>15</v>
      </c>
      <c r="I5" s="57"/>
      <c r="J5" s="57"/>
      <c r="M5" s="58"/>
      <c r="N5" s="58"/>
      <c r="O5" s="58"/>
      <c r="P5" s="58"/>
      <c r="Q5" s="58"/>
      <c r="R5" s="58"/>
      <c r="S5" s="58"/>
    </row>
    <row r="6" spans="1:19" ht="18.75" customHeight="1" x14ac:dyDescent="0.25">
      <c r="A6" s="5" t="s">
        <v>168</v>
      </c>
      <c r="B6" s="4" t="s">
        <v>3</v>
      </c>
      <c r="C6" s="38">
        <v>28.55</v>
      </c>
      <c r="D6" s="4" t="s">
        <v>2</v>
      </c>
      <c r="E6" s="3"/>
      <c r="F6" s="48">
        <v>0</v>
      </c>
      <c r="G6" s="48">
        <v>20</v>
      </c>
      <c r="H6" s="48">
        <v>20</v>
      </c>
      <c r="I6" s="33">
        <f>IF(G6&lt;=0,C27,'DSM-AS4600 (SA, 2005)-Ambient'!C50)</f>
        <v>17.171690277075871</v>
      </c>
      <c r="J6" s="34">
        <f t="shared" ref="J6:J8" si="0">I6/$I$6</f>
        <v>1</v>
      </c>
      <c r="K6" s="45" t="s">
        <v>177</v>
      </c>
      <c r="L6" s="45"/>
      <c r="M6" s="55" t="s">
        <v>192</v>
      </c>
      <c r="N6" s="55"/>
      <c r="O6" s="55"/>
      <c r="P6" s="55"/>
      <c r="Q6" s="55"/>
      <c r="R6" s="55"/>
      <c r="S6" s="55"/>
    </row>
    <row r="7" spans="1:19" ht="18.75" customHeight="1" x14ac:dyDescent="0.25">
      <c r="A7" s="5" t="s">
        <v>169</v>
      </c>
      <c r="B7" s="4" t="s">
        <v>4</v>
      </c>
      <c r="C7" s="38">
        <v>7.5250000000000004</v>
      </c>
      <c r="D7" s="4" t="s">
        <v>2</v>
      </c>
      <c r="E7" s="3"/>
      <c r="F7" s="41">
        <v>30</v>
      </c>
      <c r="G7" s="41">
        <v>89.002960000000002</v>
      </c>
      <c r="H7" s="41">
        <v>73.551322999999996</v>
      </c>
      <c r="I7" s="35">
        <f>IF(G7&lt;=0,C27,'DSM -Temp (Sheet 1) '!C152)</f>
        <v>10.834207559109705</v>
      </c>
      <c r="J7" s="36">
        <f t="shared" si="0"/>
        <v>0.6309342519165585</v>
      </c>
      <c r="K7" s="45" t="s">
        <v>178</v>
      </c>
      <c r="L7" s="45"/>
      <c r="M7" s="49">
        <v>2</v>
      </c>
      <c r="N7" s="41"/>
      <c r="O7" t="s">
        <v>193</v>
      </c>
      <c r="P7" s="55" t="s">
        <v>194</v>
      </c>
      <c r="Q7" s="55"/>
      <c r="R7" s="55"/>
      <c r="S7" s="55"/>
    </row>
    <row r="8" spans="1:19" ht="18.75" customHeight="1" x14ac:dyDescent="0.25">
      <c r="A8" s="5" t="s">
        <v>27</v>
      </c>
      <c r="B8" s="4" t="s">
        <v>5</v>
      </c>
      <c r="C8" s="38">
        <v>0.95</v>
      </c>
      <c r="D8" s="4" t="s">
        <v>2</v>
      </c>
      <c r="E8" s="3"/>
      <c r="F8" s="41">
        <v>60</v>
      </c>
      <c r="G8" s="41">
        <v>139.55946399999999</v>
      </c>
      <c r="H8" s="41">
        <v>101.054169</v>
      </c>
      <c r="I8" s="35">
        <f>IF(G8&lt;=0,C28,'DSM -Temp (Sheet 2)'!C152)</f>
        <v>9.5940901572632793</v>
      </c>
      <c r="J8" s="36">
        <f t="shared" si="0"/>
        <v>0.5587155371694158</v>
      </c>
      <c r="K8" s="45" t="s">
        <v>179</v>
      </c>
      <c r="L8" s="45"/>
      <c r="M8" s="49">
        <v>3</v>
      </c>
      <c r="N8" s="35"/>
      <c r="O8" t="s">
        <v>193</v>
      </c>
      <c r="P8" s="55" t="s">
        <v>195</v>
      </c>
      <c r="Q8" s="55"/>
      <c r="R8" s="55"/>
      <c r="S8" s="55"/>
    </row>
    <row r="9" spans="1:19" ht="18.75" customHeight="1" x14ac:dyDescent="0.3">
      <c r="A9" s="5" t="s">
        <v>28</v>
      </c>
      <c r="B9" s="4" t="s">
        <v>109</v>
      </c>
      <c r="C9" s="38">
        <v>3000</v>
      </c>
      <c r="D9" s="4" t="s">
        <v>2</v>
      </c>
      <c r="E9" s="3"/>
      <c r="F9" s="41">
        <v>75</v>
      </c>
      <c r="G9" s="41">
        <v>274</v>
      </c>
      <c r="H9" s="41">
        <v>195</v>
      </c>
      <c r="I9" s="35">
        <f>IF(G9&lt;=0,C28,'DSM -Temp (Sheet 3)'!C152)</f>
        <v>7.4650694569876839</v>
      </c>
      <c r="J9" s="36">
        <f>I9/$I$6</f>
        <v>0.43473119631988227</v>
      </c>
      <c r="K9" s="45" t="s">
        <v>180</v>
      </c>
      <c r="L9" s="45"/>
      <c r="M9" s="46"/>
    </row>
    <row r="10" spans="1:19" ht="18.75" customHeight="1" x14ac:dyDescent="0.3">
      <c r="A10" s="5" t="s">
        <v>107</v>
      </c>
      <c r="B10" s="4" t="s">
        <v>108</v>
      </c>
      <c r="C10" s="38">
        <v>1000</v>
      </c>
      <c r="D10" s="4" t="s">
        <v>2</v>
      </c>
      <c r="E10" s="3"/>
      <c r="F10" s="41">
        <v>81</v>
      </c>
      <c r="G10" s="41">
        <v>352</v>
      </c>
      <c r="H10" s="41">
        <v>261</v>
      </c>
      <c r="I10" s="35">
        <f>IF(G10&lt;=0,C29,'DSM -Temp (Sheet 4)'!C152)</f>
        <v>6.4249336555131782</v>
      </c>
      <c r="J10" s="36">
        <f>I10/$I$6</f>
        <v>0.37415848712869199</v>
      </c>
      <c r="K10" s="45" t="s">
        <v>181</v>
      </c>
      <c r="L10" s="45"/>
      <c r="M10" s="46"/>
    </row>
    <row r="11" spans="1:19" ht="18.75" customHeight="1" x14ac:dyDescent="0.3">
      <c r="A11" s="5" t="s">
        <v>29</v>
      </c>
      <c r="B11" s="4" t="s">
        <v>48</v>
      </c>
      <c r="C11" s="38">
        <v>128.203</v>
      </c>
      <c r="D11" s="4" t="s">
        <v>189</v>
      </c>
      <c r="E11" s="3"/>
      <c r="F11" s="41">
        <v>90</v>
      </c>
      <c r="G11" s="41">
        <v>429.44787600000001</v>
      </c>
      <c r="H11" s="41">
        <v>300.14373799999998</v>
      </c>
      <c r="I11" s="35">
        <f>IF(G11&lt;=0,C30,'DSM -Temp (Sheet 5)'!C152)</f>
        <v>5.2702047700822963</v>
      </c>
      <c r="J11" s="36">
        <f>I11/$I$6</f>
        <v>0.30691240553750238</v>
      </c>
      <c r="K11" s="45" t="s">
        <v>182</v>
      </c>
      <c r="L11" s="45"/>
      <c r="M11" s="46"/>
      <c r="Q11" s="54">
        <f>G10-H10</f>
        <v>91</v>
      </c>
    </row>
    <row r="12" spans="1:19" ht="18.75" customHeight="1" x14ac:dyDescent="0.3">
      <c r="A12" s="5" t="s">
        <v>30</v>
      </c>
      <c r="B12" s="4" t="s">
        <v>50</v>
      </c>
      <c r="C12" s="39">
        <v>167587</v>
      </c>
      <c r="D12" s="4" t="s">
        <v>190</v>
      </c>
      <c r="E12" s="3"/>
      <c r="F12" s="41">
        <v>110</v>
      </c>
      <c r="G12" s="41">
        <v>447.84811400000001</v>
      </c>
      <c r="H12" s="41">
        <v>340.54977400000001</v>
      </c>
      <c r="I12" s="35">
        <f>IF(G12&lt;=0,C31,'DSM -Temp (Sheet 6)'!C152)</f>
        <v>5.1466885350947873</v>
      </c>
      <c r="J12" s="36">
        <f>I12/$I$6</f>
        <v>0.29971938999887465</v>
      </c>
      <c r="K12" s="45" t="s">
        <v>183</v>
      </c>
      <c r="L12" s="45"/>
      <c r="M12" s="46"/>
      <c r="Q12" s="54">
        <f>G11-H11</f>
        <v>129.30413800000002</v>
      </c>
    </row>
    <row r="13" spans="1:19" ht="18.75" customHeight="1" x14ac:dyDescent="0.3">
      <c r="A13" s="5" t="s">
        <v>113</v>
      </c>
      <c r="B13" s="4" t="s">
        <v>112</v>
      </c>
      <c r="C13" s="39">
        <v>23878</v>
      </c>
      <c r="D13" s="4" t="s">
        <v>190</v>
      </c>
      <c r="E13" s="3"/>
      <c r="F13" s="41">
        <v>114</v>
      </c>
      <c r="G13" s="41">
        <v>467</v>
      </c>
      <c r="H13" s="41">
        <v>364</v>
      </c>
      <c r="I13" s="35">
        <f>IF(G13&lt;=0,C32,'DSM -Temp (Sheet 7)'!C152)</f>
        <v>4.919674186575298</v>
      </c>
      <c r="J13" s="36">
        <f>I13/$I$6</f>
        <v>0.28649912193810301</v>
      </c>
      <c r="K13" s="45" t="s">
        <v>184</v>
      </c>
      <c r="L13" s="45"/>
      <c r="M13" s="46"/>
    </row>
    <row r="14" spans="1:19" ht="18.75" customHeight="1" x14ac:dyDescent="0.25">
      <c r="A14" s="5"/>
      <c r="B14" s="4"/>
      <c r="C14" s="5"/>
      <c r="D14" s="4"/>
      <c r="E14" s="3"/>
      <c r="F14" s="41">
        <v>120</v>
      </c>
      <c r="G14" s="41">
        <v>523.47735599999999</v>
      </c>
      <c r="H14" s="41">
        <v>435.56613199999998</v>
      </c>
      <c r="I14" s="35">
        <f>IF(G14&lt;=0,C33,'DSM -Temp (Sheet 8)'!C152)</f>
        <v>4.2655599159058708</v>
      </c>
      <c r="J14" s="36">
        <f t="shared" ref="J14:J16" si="1">I14/$I$6</f>
        <v>0.24840652533783317</v>
      </c>
      <c r="K14" s="45" t="s">
        <v>185</v>
      </c>
      <c r="L14" s="45"/>
      <c r="M14" s="46"/>
    </row>
    <row r="15" spans="1:19" ht="18.75" customHeight="1" x14ac:dyDescent="0.25">
      <c r="A15" s="21" t="s">
        <v>170</v>
      </c>
      <c r="B15" s="4"/>
      <c r="C15" s="5"/>
      <c r="D15" s="4"/>
      <c r="E15" s="3"/>
      <c r="F15" s="41">
        <v>130</v>
      </c>
      <c r="G15" s="41">
        <v>580.90258800000004</v>
      </c>
      <c r="H15" s="41">
        <v>506.04751599999997</v>
      </c>
      <c r="I15" s="35">
        <f>IF(G15&lt;=0,C34,'DSM -Temp (Sheet 9)'!C152)</f>
        <v>3.5822716444181153</v>
      </c>
      <c r="J15" s="36">
        <f t="shared" si="1"/>
        <v>0.20861496955838016</v>
      </c>
      <c r="K15" s="45" t="s">
        <v>186</v>
      </c>
      <c r="L15" s="45"/>
      <c r="M15" s="46"/>
    </row>
    <row r="16" spans="1:19" ht="18.75" customHeight="1" x14ac:dyDescent="0.3">
      <c r="A16" s="5" t="s">
        <v>33</v>
      </c>
      <c r="B16" s="4" t="s">
        <v>58</v>
      </c>
      <c r="C16" s="39">
        <v>200000</v>
      </c>
      <c r="D16" s="4" t="s">
        <v>6</v>
      </c>
      <c r="E16" s="3"/>
      <c r="F16" s="41">
        <v>132</v>
      </c>
      <c r="G16" s="41">
        <v>593</v>
      </c>
      <c r="H16" s="41">
        <v>513</v>
      </c>
      <c r="I16" s="35">
        <f>IF(G16&lt;=0,C35,'DSM -Temp (Sheet 10)'!C152)</f>
        <v>3.4068987357089608</v>
      </c>
      <c r="J16" s="36">
        <f t="shared" si="1"/>
        <v>0.19840206064380017</v>
      </c>
      <c r="K16" s="45" t="s">
        <v>187</v>
      </c>
      <c r="L16" s="45"/>
      <c r="M16" s="46"/>
    </row>
    <row r="17" spans="1:18" ht="18.75" customHeight="1" x14ac:dyDescent="0.3">
      <c r="A17" s="5" t="s">
        <v>34</v>
      </c>
      <c r="B17" s="4" t="s">
        <v>59</v>
      </c>
      <c r="C17" s="38">
        <v>550</v>
      </c>
      <c r="D17" s="4" t="s">
        <v>6</v>
      </c>
      <c r="E17" s="3"/>
    </row>
    <row r="18" spans="1:18" ht="18.75" customHeight="1" x14ac:dyDescent="0.25">
      <c r="A18" s="5"/>
      <c r="B18" s="4"/>
      <c r="C18" s="5"/>
      <c r="D18" s="5"/>
      <c r="E18" s="3"/>
    </row>
    <row r="19" spans="1:18" ht="18.75" customHeight="1" x14ac:dyDescent="0.25">
      <c r="A19" s="21" t="s">
        <v>171</v>
      </c>
      <c r="B19" s="4"/>
      <c r="C19" s="5"/>
      <c r="D19" s="5"/>
      <c r="E19" s="3"/>
    </row>
    <row r="20" spans="1:18" ht="18.75" customHeight="1" x14ac:dyDescent="0.25">
      <c r="A20" s="4" t="s">
        <v>25</v>
      </c>
      <c r="B20" s="4"/>
      <c r="C20" s="5"/>
      <c r="D20" s="5"/>
      <c r="E20" s="3"/>
    </row>
    <row r="21" spans="1:18" ht="18.75" customHeight="1" x14ac:dyDescent="0.25">
      <c r="A21" s="5" t="s">
        <v>26</v>
      </c>
      <c r="B21" s="4"/>
      <c r="C21" s="50">
        <v>0.1234</v>
      </c>
      <c r="D21" s="5"/>
      <c r="E21" s="3"/>
    </row>
    <row r="22" spans="1:18" ht="18.75" customHeight="1" x14ac:dyDescent="0.25">
      <c r="A22" s="5" t="s">
        <v>130</v>
      </c>
      <c r="B22" s="4"/>
      <c r="C22" s="50">
        <v>0.28506999999999999</v>
      </c>
      <c r="D22" s="5"/>
      <c r="E22" s="3"/>
    </row>
    <row r="23" spans="1:18" ht="18.75" customHeight="1" x14ac:dyDescent="0.25">
      <c r="A23" s="5"/>
      <c r="B23" s="4"/>
      <c r="C23" s="5"/>
      <c r="D23" s="5"/>
      <c r="E23" s="3"/>
    </row>
    <row r="24" spans="1:18" ht="18.75" customHeight="1" x14ac:dyDescent="0.25">
      <c r="A24" s="4" t="s">
        <v>35</v>
      </c>
      <c r="B24" s="4"/>
      <c r="C24" s="5"/>
      <c r="D24" s="5"/>
      <c r="E24" s="3"/>
    </row>
    <row r="25" spans="1:18" ht="18.75" customHeight="1" x14ac:dyDescent="0.25">
      <c r="A25" s="5" t="s">
        <v>103</v>
      </c>
      <c r="B25" s="4"/>
      <c r="C25" s="40">
        <v>0.55037999999999998</v>
      </c>
      <c r="D25" s="5"/>
      <c r="E25" s="3"/>
    </row>
    <row r="26" spans="1:18" ht="18.75" customHeight="1" x14ac:dyDescent="0.25">
      <c r="A26" s="5"/>
      <c r="B26" s="4"/>
      <c r="C26" s="4"/>
      <c r="D26" s="5"/>
      <c r="E26" s="3"/>
    </row>
    <row r="27" spans="1:18" x14ac:dyDescent="0.25">
      <c r="C27" s="37" t="s">
        <v>193</v>
      </c>
      <c r="Q27">
        <v>0</v>
      </c>
      <c r="R27">
        <v>0.4</v>
      </c>
    </row>
    <row r="28" spans="1:18" x14ac:dyDescent="0.25">
      <c r="Q28">
        <v>132</v>
      </c>
      <c r="R28">
        <v>0.4</v>
      </c>
    </row>
    <row r="31" spans="1:18" x14ac:dyDescent="0.25">
      <c r="Q31">
        <v>114</v>
      </c>
      <c r="R31">
        <v>0</v>
      </c>
    </row>
    <row r="32" spans="1:18" x14ac:dyDescent="0.25">
      <c r="Q32">
        <v>114</v>
      </c>
      <c r="R32">
        <v>1</v>
      </c>
    </row>
    <row r="35" spans="17:21" x14ac:dyDescent="0.25">
      <c r="Q35">
        <v>0</v>
      </c>
      <c r="R35">
        <v>0.52610000000000001</v>
      </c>
      <c r="T35">
        <v>74</v>
      </c>
      <c r="U35">
        <v>0</v>
      </c>
    </row>
    <row r="36" spans="17:21" x14ac:dyDescent="0.25">
      <c r="Q36">
        <v>81</v>
      </c>
      <c r="R36">
        <v>0.52610000000000001</v>
      </c>
      <c r="T36">
        <v>74</v>
      </c>
      <c r="U36">
        <v>1</v>
      </c>
    </row>
  </sheetData>
  <mergeCells count="8">
    <mergeCell ref="M6:S6"/>
    <mergeCell ref="P7:S7"/>
    <mergeCell ref="P8:S8"/>
    <mergeCell ref="F3:F5"/>
    <mergeCell ref="G3:H4"/>
    <mergeCell ref="I3:I5"/>
    <mergeCell ref="J3:J5"/>
    <mergeCell ref="M3:S5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Screen'!F13</f>
        <v>114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Screen'!G13</f>
        <v>467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Screen'!H13</f>
        <v>364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415.5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97930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125740.00000000001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111835.00000000001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115356.58603932826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209.16851581201212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295.22144745389642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249.58034480822622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258.83730132679233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1.297112768647282E-5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22.416546169575511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2634040.0417187503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56888110.074687496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228666190.20750001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238819022.3165625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35.634945587244246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2.1099455872442476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20.306600582331264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2.1099455872442476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714478786.16905332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3373054770.701695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691585545.28294718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3365982867.3394847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2700515962.3637791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10845617931.85696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33.183718541998751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11.893550941421013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4.8654586230717509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1.6703472139725069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10.430644175626231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1.4641773133874059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6.838338186131117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6.838338186131117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35.634945587244246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2638.3706458128454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658485.45551387244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846144.66385097767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0.88216695067921602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607243.12359151291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5565.6045039372066</v>
      </c>
    </row>
    <row r="113" spans="1:6" x14ac:dyDescent="0.25">
      <c r="A113" s="3">
        <v>2</v>
      </c>
      <c r="B113" s="18">
        <f>D112/1000</f>
        <v>5.5656045039372062</v>
      </c>
      <c r="C113" s="16">
        <f>(1-B113/$C$80)</f>
        <v>0.53204854199142648</v>
      </c>
      <c r="D113" s="11">
        <f t="shared" si="1"/>
        <v>4782.6986695621299</v>
      </c>
    </row>
    <row r="114" spans="1:6" x14ac:dyDescent="0.25">
      <c r="A114" s="3">
        <v>3</v>
      </c>
      <c r="B114" s="18">
        <f>D113/1000</f>
        <v>4.7826986695621301</v>
      </c>
      <c r="C114" s="16">
        <f t="shared" si="0"/>
        <v>0.59787462187548301</v>
      </c>
      <c r="D114" s="11">
        <f t="shared" si="1"/>
        <v>4946.4082962413586</v>
      </c>
    </row>
    <row r="115" spans="1:6" x14ac:dyDescent="0.25">
      <c r="A115" s="3">
        <v>4</v>
      </c>
      <c r="B115" s="18">
        <f t="shared" ref="B115:B121" si="2">D114/1000</f>
        <v>4.9464082962413585</v>
      </c>
      <c r="C115" s="16">
        <f t="shared" si="0"/>
        <v>0.58411005084992951</v>
      </c>
      <c r="D115" s="11">
        <f t="shared" si="1"/>
        <v>4914.3684678473765</v>
      </c>
    </row>
    <row r="116" spans="1:6" x14ac:dyDescent="0.25">
      <c r="A116" s="3">
        <v>5</v>
      </c>
      <c r="B116" s="18">
        <f t="shared" si="2"/>
        <v>4.9143684678473765</v>
      </c>
      <c r="C116" s="16">
        <f t="shared" si="0"/>
        <v>0.58680393332050418</v>
      </c>
      <c r="D116" s="11">
        <f t="shared" si="1"/>
        <v>4920.7241519815943</v>
      </c>
    </row>
    <row r="117" spans="1:6" x14ac:dyDescent="0.25">
      <c r="A117" s="3">
        <v>6</v>
      </c>
      <c r="B117" s="18">
        <f t="shared" si="2"/>
        <v>4.9207241519815943</v>
      </c>
      <c r="C117" s="16">
        <f t="shared" si="0"/>
        <v>0.58626955261574065</v>
      </c>
      <c r="D117" s="11">
        <f t="shared" si="1"/>
        <v>4919.4667270110349</v>
      </c>
    </row>
    <row r="118" spans="1:6" x14ac:dyDescent="0.25">
      <c r="A118" s="3">
        <v>7</v>
      </c>
      <c r="B118" s="18">
        <f t="shared" si="2"/>
        <v>4.9194667270110353</v>
      </c>
      <c r="C118" s="16">
        <f t="shared" si="0"/>
        <v>0.58637527587507277</v>
      </c>
      <c r="D118" s="11">
        <f t="shared" si="1"/>
        <v>4919.7156300516936</v>
      </c>
    </row>
    <row r="119" spans="1:6" x14ac:dyDescent="0.25">
      <c r="A119" s="3">
        <v>8</v>
      </c>
      <c r="B119" s="18">
        <f t="shared" si="2"/>
        <v>4.9197156300516935</v>
      </c>
      <c r="C119" s="16">
        <f t="shared" si="0"/>
        <v>0.58635434831173328</v>
      </c>
      <c r="D119" s="11">
        <f t="shared" si="1"/>
        <v>4919.6663656585397</v>
      </c>
    </row>
    <row r="120" spans="1:6" x14ac:dyDescent="0.25">
      <c r="A120" s="3">
        <v>9</v>
      </c>
      <c r="B120" s="18">
        <f t="shared" si="2"/>
        <v>4.9196663656585393</v>
      </c>
      <c r="C120" s="16">
        <f t="shared" si="0"/>
        <v>0.58635849042146959</v>
      </c>
      <c r="D120" s="11">
        <f t="shared" si="1"/>
        <v>4919.6761165655971</v>
      </c>
    </row>
    <row r="121" spans="1:6" x14ac:dyDescent="0.25">
      <c r="A121" s="3">
        <v>10</v>
      </c>
      <c r="B121" s="18">
        <f t="shared" si="2"/>
        <v>4.9196761165655971</v>
      </c>
      <c r="C121" s="16">
        <f t="shared" si="0"/>
        <v>0.58635767057320853</v>
      </c>
      <c r="D121" s="11">
        <f t="shared" si="1"/>
        <v>4919.6741865752983</v>
      </c>
    </row>
    <row r="123" spans="1:6" x14ac:dyDescent="0.25">
      <c r="A123" s="30" t="s">
        <v>153</v>
      </c>
      <c r="B123" s="30"/>
      <c r="C123" s="31"/>
      <c r="D123" s="30">
        <f>D121/1000</f>
        <v>4.919674186575298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551864.07214665273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846144.66385097767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0.8075952402141402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538228.97075470258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6659.8060739425373</v>
      </c>
    </row>
    <row r="139" spans="1:4" x14ac:dyDescent="0.25">
      <c r="A139" s="3">
        <v>2</v>
      </c>
      <c r="B139" s="18">
        <f>D138/1000</f>
        <v>6.6598060739425371</v>
      </c>
      <c r="C139" s="16">
        <f t="shared" si="3"/>
        <v>0.44004897219140848</v>
      </c>
      <c r="D139" s="11">
        <f t="shared" si="4"/>
        <v>6445.6733238966672</v>
      </c>
    </row>
    <row r="140" spans="1:4" x14ac:dyDescent="0.25">
      <c r="A140" s="3">
        <v>3</v>
      </c>
      <c r="B140" s="18">
        <f>D139/1000</f>
        <v>6.445673323896667</v>
      </c>
      <c r="C140" s="16">
        <f t="shared" si="3"/>
        <v>0.45805307803839501</v>
      </c>
      <c r="D140" s="11">
        <f t="shared" si="4"/>
        <v>6460.2539713272354</v>
      </c>
    </row>
    <row r="141" spans="1:4" x14ac:dyDescent="0.25">
      <c r="A141" s="3">
        <v>4</v>
      </c>
      <c r="B141" s="18">
        <f>D140/1000</f>
        <v>6.4602539713272353</v>
      </c>
      <c r="C141" s="16">
        <f t="shared" si="3"/>
        <v>0.45682714917136602</v>
      </c>
      <c r="D141" s="11">
        <f t="shared" si="4"/>
        <v>6459.295594077249</v>
      </c>
    </row>
    <row r="142" spans="1:4" x14ac:dyDescent="0.25">
      <c r="A142" s="3">
        <v>5</v>
      </c>
      <c r="B142" s="18">
        <f>D141/1000</f>
        <v>6.4592955940772487</v>
      </c>
      <c r="C142" s="16">
        <f t="shared" si="3"/>
        <v>0.45690772874383412</v>
      </c>
      <c r="D142" s="11">
        <f t="shared" si="4"/>
        <v>6459.3587367989576</v>
      </c>
    </row>
    <row r="143" spans="1:4" x14ac:dyDescent="0.25">
      <c r="A143" s="3">
        <v>6</v>
      </c>
      <c r="B143" s="18">
        <f>D142/1000</f>
        <v>6.4593587367989578</v>
      </c>
      <c r="C143" s="16">
        <f t="shared" si="3"/>
        <v>0.45690241975562529</v>
      </c>
      <c r="D143" s="11">
        <f t="shared" si="4"/>
        <v>6459.3545772856942</v>
      </c>
    </row>
    <row r="144" spans="1:4" ht="18.75" customHeight="1" x14ac:dyDescent="0.25">
      <c r="A144" s="3">
        <v>7</v>
      </c>
      <c r="B144" s="18">
        <f t="shared" ref="B144:B147" si="5">D143/1000</f>
        <v>6.4593545772856942</v>
      </c>
      <c r="C144" s="16">
        <f t="shared" si="3"/>
        <v>0.45690276948408604</v>
      </c>
      <c r="D144" s="11">
        <f t="shared" si="4"/>
        <v>6459.3548512955476</v>
      </c>
    </row>
    <row r="145" spans="1:5" x14ac:dyDescent="0.25">
      <c r="A145" s="3">
        <v>8</v>
      </c>
      <c r="B145" s="18">
        <f t="shared" si="5"/>
        <v>6.4593548512955472</v>
      </c>
      <c r="C145" s="16">
        <f t="shared" si="3"/>
        <v>0.4569027464455625</v>
      </c>
      <c r="D145" s="11">
        <f t="shared" si="4"/>
        <v>6459.3548332450346</v>
      </c>
    </row>
    <row r="146" spans="1:5" x14ac:dyDescent="0.25">
      <c r="A146" s="3">
        <v>9</v>
      </c>
      <c r="B146" s="18">
        <f t="shared" si="5"/>
        <v>6.459354833245035</v>
      </c>
      <c r="C146" s="16">
        <f t="shared" si="3"/>
        <v>0.45690274796323471</v>
      </c>
      <c r="D146" s="11">
        <f t="shared" si="4"/>
        <v>6459.3548344341189</v>
      </c>
    </row>
    <row r="147" spans="1:5" x14ac:dyDescent="0.25">
      <c r="A147" s="3">
        <v>10</v>
      </c>
      <c r="B147" s="18">
        <f t="shared" si="5"/>
        <v>6.4593548344341185</v>
      </c>
      <c r="C147" s="16">
        <f t="shared" si="3"/>
        <v>0.45690274786325757</v>
      </c>
      <c r="D147" s="11">
        <f t="shared" si="4"/>
        <v>6459.3548343557877</v>
      </c>
    </row>
    <row r="149" spans="1:5" x14ac:dyDescent="0.25">
      <c r="A149" s="30" t="s">
        <v>152</v>
      </c>
      <c r="B149" s="30"/>
      <c r="C149" s="31"/>
      <c r="D149" s="30">
        <f>D147/1000</f>
        <v>6.4593548343557874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4.919674186575298</v>
      </c>
      <c r="C152" s="28">
        <f>IF(F123=TRUE,D149,MIN(D149,D123))</f>
        <v>4.919674186575298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5FD4A-103A-4478-8280-BD66790EF5AD}">
  <dimension ref="A1:H153"/>
  <sheetViews>
    <sheetView topLeftCell="A113" zoomScale="85" zoomScaleNormal="85" workbookViewId="0">
      <selection activeCell="C152" sqref="C15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Screen'!F14</f>
        <v>120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Screen'!G14</f>
        <v>523.47735599999999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Screen'!H14</f>
        <v>435.56613199999998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479.52174400000001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82681.113880000019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106417.14436000002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94549.129120000012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97526.398249875594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169.58384860086522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233.2810009430722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200.00280141062089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207.06504853853411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1.3312322954700499E-5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19.635949752198279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2223888.1308468087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48145937.825557426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193526347.80946994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201905759.17486322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35.655093007955642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2.1300930079556437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17.505856744242635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2.1300930079556437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603985136.65443754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2851050275.8487358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584460089.94726276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2845069352.1095448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2283622921.0733089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9168187775.6332893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26.546360417785692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10.054042935600441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4.1134249168938917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1.6249205287924346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8.8173956545215866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1.4640920324682867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5.7809271235110824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5.7809271235110824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35.655093007955642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2636.5726358475995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527321.91329210473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715359.60188353457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0.85856998972379006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494783.37257655436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4799.3054110395542</v>
      </c>
    </row>
    <row r="113" spans="1:6" x14ac:dyDescent="0.25">
      <c r="A113" s="3">
        <v>2</v>
      </c>
      <c r="B113" s="18">
        <f>D112/1000</f>
        <v>4.7993054110395539</v>
      </c>
      <c r="C113" s="16">
        <f>(1-B113/$C$80)</f>
        <v>0.52264920273558257</v>
      </c>
      <c r="D113" s="11">
        <f t="shared" si="1"/>
        <v>4154.9315758249741</v>
      </c>
    </row>
    <row r="114" spans="1:6" x14ac:dyDescent="0.25">
      <c r="A114" s="3">
        <v>3</v>
      </c>
      <c r="B114" s="18">
        <f>D113/1000</f>
        <v>4.1549315758249739</v>
      </c>
      <c r="C114" s="16">
        <f t="shared" si="0"/>
        <v>0.58674021958741163</v>
      </c>
      <c r="D114" s="11">
        <f t="shared" si="1"/>
        <v>4286.6326847007304</v>
      </c>
    </row>
    <row r="115" spans="1:6" x14ac:dyDescent="0.25">
      <c r="A115" s="3">
        <v>4</v>
      </c>
      <c r="B115" s="18">
        <f t="shared" ref="B115:B121" si="2">D114/1000</f>
        <v>4.2866326847007308</v>
      </c>
      <c r="C115" s="16">
        <f t="shared" si="0"/>
        <v>0.57364090126150558</v>
      </c>
      <c r="D115" s="11">
        <f t="shared" si="1"/>
        <v>4261.4786538299659</v>
      </c>
    </row>
    <row r="116" spans="1:6" x14ac:dyDescent="0.25">
      <c r="A116" s="3">
        <v>5</v>
      </c>
      <c r="B116" s="18">
        <f t="shared" si="2"/>
        <v>4.2614786538299656</v>
      </c>
      <c r="C116" s="16">
        <f t="shared" si="0"/>
        <v>0.57614278344282166</v>
      </c>
      <c r="D116" s="11">
        <f t="shared" si="1"/>
        <v>4266.3481216357786</v>
      </c>
    </row>
    <row r="117" spans="1:6" x14ac:dyDescent="0.25">
      <c r="A117" s="3">
        <v>6</v>
      </c>
      <c r="B117" s="18">
        <f t="shared" si="2"/>
        <v>4.2663481216357786</v>
      </c>
      <c r="C117" s="16">
        <f t="shared" si="0"/>
        <v>0.57565845412008021</v>
      </c>
      <c r="D117" s="11">
        <f t="shared" si="1"/>
        <v>4265.4078986115646</v>
      </c>
    </row>
    <row r="118" spans="1:6" x14ac:dyDescent="0.25">
      <c r="A118" s="3">
        <v>7</v>
      </c>
      <c r="B118" s="18">
        <f t="shared" si="2"/>
        <v>4.2654078986115644</v>
      </c>
      <c r="C118" s="16">
        <f t="shared" si="0"/>
        <v>0.57575197102966924</v>
      </c>
      <c r="D118" s="11">
        <f t="shared" si="1"/>
        <v>4265.5895328555016</v>
      </c>
    </row>
    <row r="119" spans="1:6" x14ac:dyDescent="0.25">
      <c r="A119" s="3">
        <v>8</v>
      </c>
      <c r="B119" s="18">
        <f t="shared" si="2"/>
        <v>4.2655895328555014</v>
      </c>
      <c r="C119" s="16">
        <f t="shared" si="0"/>
        <v>0.57573390523811652</v>
      </c>
      <c r="D119" s="11">
        <f t="shared" si="1"/>
        <v>4265.5544477666181</v>
      </c>
    </row>
    <row r="120" spans="1:6" x14ac:dyDescent="0.25">
      <c r="A120" s="3">
        <v>9</v>
      </c>
      <c r="B120" s="18">
        <f t="shared" si="2"/>
        <v>4.2655544477666183</v>
      </c>
      <c r="C120" s="16">
        <f t="shared" si="0"/>
        <v>0.57573739488791298</v>
      </c>
      <c r="D120" s="11">
        <f t="shared" si="1"/>
        <v>4265.5612250484273</v>
      </c>
    </row>
    <row r="121" spans="1:6" x14ac:dyDescent="0.25">
      <c r="A121" s="3">
        <v>10</v>
      </c>
      <c r="B121" s="18">
        <f t="shared" si="2"/>
        <v>4.2655612250484269</v>
      </c>
      <c r="C121" s="16">
        <f t="shared" si="0"/>
        <v>0.57573672080268645</v>
      </c>
      <c r="D121" s="11">
        <f t="shared" si="1"/>
        <v>4265.5599159058711</v>
      </c>
    </row>
    <row r="123" spans="1:6" x14ac:dyDescent="0.25">
      <c r="A123" s="30" t="s">
        <v>153</v>
      </c>
      <c r="B123" s="30"/>
      <c r="C123" s="31"/>
      <c r="D123" s="30">
        <f>D121/1000</f>
        <v>4.2655599159058708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447120.13470276346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715359.60188353457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0.7905874360856846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441912.76045250072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5624.208386591933</v>
      </c>
    </row>
    <row r="139" spans="1:4" x14ac:dyDescent="0.25">
      <c r="A139" s="3">
        <v>2</v>
      </c>
      <c r="B139" s="18">
        <f>D138/1000</f>
        <v>5.624208386591933</v>
      </c>
      <c r="C139" s="16">
        <f t="shared" si="3"/>
        <v>0.44060231067075228</v>
      </c>
      <c r="D139" s="11">
        <f t="shared" si="4"/>
        <v>5437.070262658428</v>
      </c>
    </row>
    <row r="140" spans="1:4" x14ac:dyDescent="0.25">
      <c r="A140" s="3">
        <v>3</v>
      </c>
      <c r="B140" s="18">
        <f>D139/1000</f>
        <v>5.4370702626584277</v>
      </c>
      <c r="C140" s="16">
        <f t="shared" si="3"/>
        <v>0.4592155317532749</v>
      </c>
      <c r="D140" s="11">
        <f t="shared" si="4"/>
        <v>5450.2103554292189</v>
      </c>
    </row>
    <row r="141" spans="1:4" x14ac:dyDescent="0.25">
      <c r="A141" s="3">
        <v>4</v>
      </c>
      <c r="B141" s="18">
        <f>D140/1000</f>
        <v>5.4502103554292187</v>
      </c>
      <c r="C141" s="16">
        <f t="shared" si="3"/>
        <v>0.45790858559689207</v>
      </c>
      <c r="D141" s="11">
        <f t="shared" si="4"/>
        <v>5449.3205808618468</v>
      </c>
    </row>
    <row r="142" spans="1:4" x14ac:dyDescent="0.25">
      <c r="A142" s="3">
        <v>5</v>
      </c>
      <c r="B142" s="18">
        <f>D141/1000</f>
        <v>5.4493205808618468</v>
      </c>
      <c r="C142" s="16">
        <f t="shared" si="3"/>
        <v>0.45799708477807433</v>
      </c>
      <c r="D142" s="11">
        <f t="shared" si="4"/>
        <v>5449.3809825819862</v>
      </c>
    </row>
    <row r="143" spans="1:4" x14ac:dyDescent="0.25">
      <c r="A143" s="3">
        <v>6</v>
      </c>
      <c r="B143" s="18">
        <f>D142/1000</f>
        <v>5.4493809825819861</v>
      </c>
      <c r="C143" s="16">
        <f t="shared" si="3"/>
        <v>0.45799107707345976</v>
      </c>
      <c r="D143" s="11">
        <f t="shared" si="4"/>
        <v>5449.3768829499122</v>
      </c>
    </row>
    <row r="144" spans="1:4" ht="18.75" customHeight="1" x14ac:dyDescent="0.25">
      <c r="A144" s="3">
        <v>7</v>
      </c>
      <c r="B144" s="18">
        <f t="shared" ref="B144:B147" si="5">D143/1000</f>
        <v>5.4493768829499123</v>
      </c>
      <c r="C144" s="16">
        <f t="shared" si="3"/>
        <v>0.45799148483301477</v>
      </c>
      <c r="D144" s="11">
        <f t="shared" si="4"/>
        <v>5449.3771612065057</v>
      </c>
    </row>
    <row r="145" spans="1:5" x14ac:dyDescent="0.25">
      <c r="A145" s="3">
        <v>8</v>
      </c>
      <c r="B145" s="18">
        <f t="shared" si="5"/>
        <v>5.4493771612065061</v>
      </c>
      <c r="C145" s="16">
        <f t="shared" si="3"/>
        <v>0.45799145715692513</v>
      </c>
      <c r="D145" s="11">
        <f t="shared" si="4"/>
        <v>5449.3771423202561</v>
      </c>
    </row>
    <row r="146" spans="1:5" x14ac:dyDescent="0.25">
      <c r="A146" s="3">
        <v>9</v>
      </c>
      <c r="B146" s="18">
        <f t="shared" si="5"/>
        <v>5.4493771423202562</v>
      </c>
      <c r="C146" s="16">
        <f t="shared" si="3"/>
        <v>0.45799145903539829</v>
      </c>
      <c r="D146" s="11">
        <f t="shared" si="4"/>
        <v>5449.3771436021325</v>
      </c>
    </row>
    <row r="147" spans="1:5" x14ac:dyDescent="0.25">
      <c r="A147" s="3">
        <v>10</v>
      </c>
      <c r="B147" s="18">
        <f t="shared" si="5"/>
        <v>5.4493771436021321</v>
      </c>
      <c r="C147" s="16">
        <f t="shared" si="3"/>
        <v>0.45799145890789972</v>
      </c>
      <c r="D147" s="11">
        <f t="shared" si="4"/>
        <v>5449.3771435151275</v>
      </c>
    </row>
    <row r="149" spans="1:5" x14ac:dyDescent="0.25">
      <c r="A149" s="30" t="s">
        <v>152</v>
      </c>
      <c r="B149" s="30"/>
      <c r="C149" s="31"/>
      <c r="D149" s="30">
        <f>D147/1000</f>
        <v>5.4493771435151279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4.2655599159058708</v>
      </c>
      <c r="C152" s="28">
        <f>IF(F123=TRUE,D149,MIN(D149,D123))</f>
        <v>4.2655599159058708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D31F3-65CB-486B-9CF9-C9B2DA819F47}">
  <dimension ref="A1:H153"/>
  <sheetViews>
    <sheetView zoomScale="85" zoomScaleNormal="85" workbookViewId="0">
      <selection activeCell="C14" sqref="C14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Screen'!F15</f>
        <v>130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Screen'!G15</f>
        <v>580.90258800000004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Screen'!H15</f>
        <v>506.04751599999997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543.47505200000001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67176.301240000001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87387.17068000001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77281.735960000005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79715.270027615581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133.40584486637303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181.33573058595198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156.5630981233146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161.92495620562954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1.3632369139657893E-5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17.121677407377025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1806852.5203790558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39536273.141079567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158919129.89031455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165031954.44086316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35.743994043235965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2.2189940432359663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14.902683364141058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2.2189940432359663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493449508.80622238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2327970795.869482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476880090.5463801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2323090073.4179883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1868470913.9824498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7489861382.6225224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20.759265160430324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8.2135520961644968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3.3621950966382279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1.5897926326720837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7.2032851883362641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1.4637059879102907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4.7235444425184454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4.7235444425184454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35.743994043235965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2628.6283017070309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411546.19072987972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584714.34251973184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0.8389525910884682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391860.54546431161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4004.2283485739467</v>
      </c>
    </row>
    <row r="113" spans="1:6" x14ac:dyDescent="0.25">
      <c r="A113" s="3">
        <v>2</v>
      </c>
      <c r="B113" s="18">
        <f>D112/1000</f>
        <v>4.0042283485739469</v>
      </c>
      <c r="C113" s="16">
        <f>(1-B113/$C$80)</f>
        <v>0.51248518281830691</v>
      </c>
      <c r="D113" s="11">
        <f t="shared" si="1"/>
        <v>3497.5603296799754</v>
      </c>
    </row>
    <row r="114" spans="1:6" x14ac:dyDescent="0.25">
      <c r="A114" s="3">
        <v>3</v>
      </c>
      <c r="B114" s="18">
        <f>D113/1000</f>
        <v>3.4975603296799753</v>
      </c>
      <c r="C114" s="16">
        <f t="shared" si="0"/>
        <v>0.5741720161106374</v>
      </c>
      <c r="D114" s="11">
        <f t="shared" si="1"/>
        <v>3597.8866223475025</v>
      </c>
    </row>
    <row r="115" spans="1:6" x14ac:dyDescent="0.25">
      <c r="A115" s="3">
        <v>4</v>
      </c>
      <c r="B115" s="18">
        <f t="shared" ref="B115:B121" si="2">D114/1000</f>
        <v>3.5978866223475023</v>
      </c>
      <c r="C115" s="16">
        <f t="shared" si="0"/>
        <v>0.56195728958392843</v>
      </c>
      <c r="D115" s="11">
        <f t="shared" si="1"/>
        <v>3579.34607645699</v>
      </c>
    </row>
    <row r="116" spans="1:6" x14ac:dyDescent="0.25">
      <c r="A116" s="3">
        <v>5</v>
      </c>
      <c r="B116" s="18">
        <f t="shared" si="2"/>
        <v>3.5793460764569898</v>
      </c>
      <c r="C116" s="16">
        <f t="shared" si="0"/>
        <v>0.56421460111899135</v>
      </c>
      <c r="D116" s="11">
        <f t="shared" si="1"/>
        <v>3582.8182808226966</v>
      </c>
    </row>
    <row r="117" spans="1:6" x14ac:dyDescent="0.25">
      <c r="A117" s="3">
        <v>6</v>
      </c>
      <c r="B117" s="18">
        <f t="shared" si="2"/>
        <v>3.5828182808226967</v>
      </c>
      <c r="C117" s="16">
        <f t="shared" si="0"/>
        <v>0.56379186022381544</v>
      </c>
      <c r="D117" s="11">
        <f t="shared" si="1"/>
        <v>3582.1696239795469</v>
      </c>
    </row>
    <row r="118" spans="1:6" x14ac:dyDescent="0.25">
      <c r="A118" s="3">
        <v>7</v>
      </c>
      <c r="B118" s="18">
        <f t="shared" si="2"/>
        <v>3.5821696239795471</v>
      </c>
      <c r="C118" s="16">
        <f t="shared" si="0"/>
        <v>0.56387083419701911</v>
      </c>
      <c r="D118" s="11">
        <f t="shared" si="1"/>
        <v>3582.2908582719751</v>
      </c>
    </row>
    <row r="119" spans="1:6" x14ac:dyDescent="0.25">
      <c r="A119" s="3">
        <v>8</v>
      </c>
      <c r="B119" s="18">
        <f t="shared" si="2"/>
        <v>3.5822908582719752</v>
      </c>
      <c r="C119" s="16">
        <f t="shared" si="0"/>
        <v>0.56385607392143933</v>
      </c>
      <c r="D119" s="11">
        <f t="shared" si="1"/>
        <v>3582.2682014783099</v>
      </c>
    </row>
    <row r="120" spans="1:6" x14ac:dyDescent="0.25">
      <c r="A120" s="3">
        <v>9</v>
      </c>
      <c r="B120" s="18">
        <f t="shared" si="2"/>
        <v>3.58226820147831</v>
      </c>
      <c r="C120" s="16">
        <f t="shared" si="0"/>
        <v>0.56385883238615708</v>
      </c>
      <c r="D120" s="11">
        <f t="shared" si="1"/>
        <v>3582.2724357471398</v>
      </c>
    </row>
    <row r="121" spans="1:6" x14ac:dyDescent="0.25">
      <c r="A121" s="3">
        <v>10</v>
      </c>
      <c r="B121" s="18">
        <f t="shared" si="2"/>
        <v>3.5822724357471398</v>
      </c>
      <c r="C121" s="16">
        <f t="shared" si="0"/>
        <v>0.56385831686391041</v>
      </c>
      <c r="D121" s="11">
        <f t="shared" si="1"/>
        <v>3582.2716444181151</v>
      </c>
    </row>
    <row r="123" spans="1:6" x14ac:dyDescent="0.25">
      <c r="A123" s="30" t="s">
        <v>153</v>
      </c>
      <c r="B123" s="30"/>
      <c r="C123" s="31"/>
      <c r="D123" s="30">
        <f>D121/1000</f>
        <v>3.5822716444181153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350674.37942888576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584714.34251973184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0.77442639215986031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350674.37942888576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4586.4570744967514</v>
      </c>
    </row>
    <row r="139" spans="1:4" x14ac:dyDescent="0.25">
      <c r="A139" s="3">
        <v>2</v>
      </c>
      <c r="B139" s="18">
        <f>D138/1000</f>
        <v>4.5864570744967512</v>
      </c>
      <c r="C139" s="16">
        <f t="shared" si="3"/>
        <v>0.44159883314814541</v>
      </c>
      <c r="D139" s="11">
        <f t="shared" si="4"/>
        <v>4424.0994409702907</v>
      </c>
    </row>
    <row r="140" spans="1:4" x14ac:dyDescent="0.25">
      <c r="A140" s="3">
        <v>3</v>
      </c>
      <c r="B140" s="18">
        <f>D139/1000</f>
        <v>4.4240994409702905</v>
      </c>
      <c r="C140" s="16">
        <f t="shared" si="3"/>
        <v>0.46136587566830878</v>
      </c>
      <c r="D140" s="11">
        <f t="shared" si="4"/>
        <v>4436.1484508430021</v>
      </c>
    </row>
    <row r="141" spans="1:4" x14ac:dyDescent="0.25">
      <c r="A141" s="3">
        <v>4</v>
      </c>
      <c r="B141" s="18">
        <f>D140/1000</f>
        <v>4.4361484508430022</v>
      </c>
      <c r="C141" s="16">
        <f t="shared" si="3"/>
        <v>0.4598989086689349</v>
      </c>
      <c r="D141" s="11">
        <f t="shared" si="4"/>
        <v>4435.2876702653521</v>
      </c>
    </row>
    <row r="142" spans="1:4" x14ac:dyDescent="0.25">
      <c r="A142" s="3">
        <v>5</v>
      </c>
      <c r="B142" s="18">
        <f>D141/1000</f>
        <v>4.4352876702653523</v>
      </c>
      <c r="C142" s="16">
        <f t="shared" si="3"/>
        <v>0.46000370870764795</v>
      </c>
      <c r="D142" s="11">
        <f t="shared" si="4"/>
        <v>4435.3493353674176</v>
      </c>
    </row>
    <row r="143" spans="1:4" x14ac:dyDescent="0.25">
      <c r="A143" s="3">
        <v>6</v>
      </c>
      <c r="B143" s="18">
        <f>D142/1000</f>
        <v>4.4353493353674178</v>
      </c>
      <c r="C143" s="16">
        <f t="shared" si="3"/>
        <v>0.45999620098122906</v>
      </c>
      <c r="D143" s="11">
        <f t="shared" si="4"/>
        <v>4435.3449186441421</v>
      </c>
    </row>
    <row r="144" spans="1:4" ht="18.75" customHeight="1" x14ac:dyDescent="0.25">
      <c r="A144" s="3">
        <v>7</v>
      </c>
      <c r="B144" s="18">
        <f t="shared" ref="B144:B147" si="5">D143/1000</f>
        <v>4.4353449186441418</v>
      </c>
      <c r="C144" s="16">
        <f t="shared" si="3"/>
        <v>0.45999673871730529</v>
      </c>
      <c r="D144" s="11">
        <f t="shared" si="4"/>
        <v>4435.3452349936069</v>
      </c>
    </row>
    <row r="145" spans="1:5" x14ac:dyDescent="0.25">
      <c r="A145" s="3">
        <v>8</v>
      </c>
      <c r="B145" s="18">
        <f t="shared" si="5"/>
        <v>4.4353452349936067</v>
      </c>
      <c r="C145" s="16">
        <f t="shared" si="3"/>
        <v>0.45999670020175665</v>
      </c>
      <c r="D145" s="11">
        <f t="shared" si="4"/>
        <v>4435.3452123349816</v>
      </c>
    </row>
    <row r="146" spans="1:5" x14ac:dyDescent="0.25">
      <c r="A146" s="3">
        <v>9</v>
      </c>
      <c r="B146" s="18">
        <f t="shared" si="5"/>
        <v>4.4353452123349815</v>
      </c>
      <c r="C146" s="16">
        <f t="shared" si="3"/>
        <v>0.45999670296044437</v>
      </c>
      <c r="D146" s="11">
        <f t="shared" si="4"/>
        <v>4435.3452139579122</v>
      </c>
    </row>
    <row r="147" spans="1:5" x14ac:dyDescent="0.25">
      <c r="A147" s="3">
        <v>10</v>
      </c>
      <c r="B147" s="18">
        <f t="shared" si="5"/>
        <v>4.4353452139579126</v>
      </c>
      <c r="C147" s="16">
        <f t="shared" si="3"/>
        <v>0.45999670276285254</v>
      </c>
      <c r="D147" s="11">
        <f t="shared" si="4"/>
        <v>4435.3452138416696</v>
      </c>
    </row>
    <row r="149" spans="1:5" x14ac:dyDescent="0.25">
      <c r="A149" s="30" t="s">
        <v>152</v>
      </c>
      <c r="B149" s="30"/>
      <c r="C149" s="31"/>
      <c r="D149" s="30">
        <f>D147/1000</f>
        <v>4.4353452138416696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3.5822716444181153</v>
      </c>
      <c r="C152" s="28">
        <f>IF(F123=TRUE,D149,MIN(D149,D123))</f>
        <v>3.5822716444181153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EFB4-A96E-49FB-93D1-6E3B7432C554}">
  <dimension ref="A1:H153"/>
  <sheetViews>
    <sheetView topLeftCell="A133" zoomScale="85" zoomScaleNormal="85" workbookViewId="0">
      <selection activeCell="C14" sqref="C14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Screen'!F16</f>
        <v>132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Screen'!G16</f>
        <v>593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Screen'!H16</f>
        <v>513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553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63910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85510.000000000015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74710.000000000015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77062.552358369168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126.23219951135439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176.60132921640232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150.525181483685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155.7417636012274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1.3678716697936209E-5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18.360693554276793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1718998.2545312501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38686991.351093747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155505375.57375002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159540118.543125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35.978143894899354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2.4531438948993554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15.907549659377437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2.4531438948993554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476324257.06065607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2243888520.4612222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458784916.73382396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2239313240.9433904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1811499120.5449185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7229810055.7440109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19.966561318968154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7.9283739050234647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3.2503099542155005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1.5869365995574904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6.9531839147055781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1.4626131355711713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4.5619270737837958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4.5619270737837958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35.978143894899354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2607.6226461897809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392512.87205868372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565256.56401221931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0.83330530116045576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375337.77354919002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3822.8116667236327</v>
      </c>
    </row>
    <row r="113" spans="1:6" x14ac:dyDescent="0.25">
      <c r="A113" s="3">
        <v>2</v>
      </c>
      <c r="B113" s="18">
        <f>D112/1000</f>
        <v>3.8228116667236325</v>
      </c>
      <c r="C113" s="16">
        <f>(1-B113/$C$80)</f>
        <v>0.51783156136197406</v>
      </c>
      <c r="D113" s="11">
        <f t="shared" si="1"/>
        <v>3321.6999278208809</v>
      </c>
    </row>
    <row r="114" spans="1:6" x14ac:dyDescent="0.25">
      <c r="A114" s="3">
        <v>3</v>
      </c>
      <c r="B114" s="18">
        <f>D113/1000</f>
        <v>3.3216999278208807</v>
      </c>
      <c r="C114" s="16">
        <f t="shared" si="0"/>
        <v>0.58103641836111786</v>
      </c>
      <c r="D114" s="11">
        <f t="shared" si="1"/>
        <v>3422.9272293326785</v>
      </c>
    </row>
    <row r="115" spans="1:6" x14ac:dyDescent="0.25">
      <c r="A115" s="3">
        <v>4</v>
      </c>
      <c r="B115" s="18">
        <f t="shared" ref="B115:B121" si="2">D114/1000</f>
        <v>3.4229272293326787</v>
      </c>
      <c r="C115" s="16">
        <f t="shared" si="0"/>
        <v>0.56826869288242177</v>
      </c>
      <c r="D115" s="11">
        <f t="shared" si="1"/>
        <v>3403.8329456929318</v>
      </c>
    </row>
    <row r="116" spans="1:6" x14ac:dyDescent="0.25">
      <c r="A116" s="3">
        <v>5</v>
      </c>
      <c r="B116" s="18">
        <f t="shared" si="2"/>
        <v>3.4038329456929319</v>
      </c>
      <c r="C116" s="16">
        <f t="shared" si="0"/>
        <v>0.57067704090794158</v>
      </c>
      <c r="D116" s="11">
        <f t="shared" si="1"/>
        <v>3407.4834942327939</v>
      </c>
    </row>
    <row r="117" spans="1:6" x14ac:dyDescent="0.25">
      <c r="A117" s="3">
        <v>6</v>
      </c>
      <c r="B117" s="18">
        <f t="shared" si="2"/>
        <v>3.4074834942327938</v>
      </c>
      <c r="C117" s="16">
        <f t="shared" si="0"/>
        <v>0.57021659989146167</v>
      </c>
      <c r="D117" s="11">
        <f t="shared" si="1"/>
        <v>3406.787343079021</v>
      </c>
    </row>
    <row r="118" spans="1:6" x14ac:dyDescent="0.25">
      <c r="A118" s="3">
        <v>7</v>
      </c>
      <c r="B118" s="18">
        <f t="shared" si="2"/>
        <v>3.4067873430790208</v>
      </c>
      <c r="C118" s="16">
        <f t="shared" si="0"/>
        <v>0.57030440492716172</v>
      </c>
      <c r="D118" s="11">
        <f t="shared" si="1"/>
        <v>3406.9201622720757</v>
      </c>
    </row>
    <row r="119" spans="1:6" x14ac:dyDescent="0.25">
      <c r="A119" s="3">
        <v>8</v>
      </c>
      <c r="B119" s="18">
        <f t="shared" si="2"/>
        <v>3.4069201622720757</v>
      </c>
      <c r="C119" s="16">
        <f t="shared" si="0"/>
        <v>0.57028765253951619</v>
      </c>
      <c r="D119" s="11">
        <f t="shared" si="1"/>
        <v>3406.8948239579277</v>
      </c>
    </row>
    <row r="120" spans="1:6" x14ac:dyDescent="0.25">
      <c r="A120" s="3">
        <v>9</v>
      </c>
      <c r="B120" s="18">
        <f t="shared" si="2"/>
        <v>3.4068948239579275</v>
      </c>
      <c r="C120" s="16">
        <f t="shared" si="0"/>
        <v>0.57029084844254152</v>
      </c>
      <c r="D120" s="11">
        <f t="shared" si="1"/>
        <v>3406.8996579096092</v>
      </c>
    </row>
    <row r="121" spans="1:6" x14ac:dyDescent="0.25">
      <c r="A121" s="3">
        <v>10</v>
      </c>
      <c r="B121" s="18">
        <f t="shared" si="2"/>
        <v>3.4068996579096091</v>
      </c>
      <c r="C121" s="16">
        <f t="shared" si="0"/>
        <v>0.57029023873975249</v>
      </c>
      <c r="D121" s="11">
        <f t="shared" si="1"/>
        <v>3406.8987357089609</v>
      </c>
    </row>
    <row r="123" spans="1:6" x14ac:dyDescent="0.25">
      <c r="A123" s="30" t="s">
        <v>153</v>
      </c>
      <c r="B123" s="30"/>
      <c r="C123" s="31"/>
      <c r="D123" s="30">
        <f>D121/1000</f>
        <v>3.4068987357089608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329165.9421241543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565256.56401221931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0.76310559837508396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329165.9421241543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4411.9292334508627</v>
      </c>
    </row>
    <row r="139" spans="1:4" x14ac:dyDescent="0.25">
      <c r="A139" s="3">
        <v>2</v>
      </c>
      <c r="B139" s="18">
        <f>D138/1000</f>
        <v>4.4119292334508629</v>
      </c>
      <c r="C139" s="16">
        <f t="shared" si="3"/>
        <v>0.44352659368708147</v>
      </c>
      <c r="D139" s="11">
        <f t="shared" si="4"/>
        <v>4237.1324421429536</v>
      </c>
    </row>
    <row r="140" spans="1:4" x14ac:dyDescent="0.25">
      <c r="A140" s="3">
        <v>3</v>
      </c>
      <c r="B140" s="18">
        <f>D139/1000</f>
        <v>4.2371324421429533</v>
      </c>
      <c r="C140" s="16">
        <f t="shared" si="3"/>
        <v>0.46557358508807445</v>
      </c>
      <c r="D140" s="11">
        <f t="shared" si="4"/>
        <v>4251.4662056865718</v>
      </c>
    </row>
    <row r="141" spans="1:4" x14ac:dyDescent="0.25">
      <c r="A141" s="3">
        <v>4</v>
      </c>
      <c r="B141" s="18">
        <f>D140/1000</f>
        <v>4.2514662056865715</v>
      </c>
      <c r="C141" s="16">
        <f t="shared" si="3"/>
        <v>0.46376567797933732</v>
      </c>
      <c r="D141" s="11">
        <f t="shared" si="4"/>
        <v>4250.3385940071539</v>
      </c>
    </row>
    <row r="142" spans="1:4" x14ac:dyDescent="0.25">
      <c r="A142" s="3">
        <v>5</v>
      </c>
      <c r="B142" s="18">
        <f>D141/1000</f>
        <v>4.2503385940071539</v>
      </c>
      <c r="C142" s="16">
        <f t="shared" si="3"/>
        <v>0.46390790281546712</v>
      </c>
      <c r="D142" s="11">
        <f t="shared" si="4"/>
        <v>4250.4275979708245</v>
      </c>
    </row>
    <row r="143" spans="1:4" x14ac:dyDescent="0.25">
      <c r="A143" s="3">
        <v>6</v>
      </c>
      <c r="B143" s="18">
        <f>D142/1000</f>
        <v>4.2504275979708241</v>
      </c>
      <c r="C143" s="16">
        <f t="shared" si="3"/>
        <v>0.46389667681064739</v>
      </c>
      <c r="D143" s="11">
        <f t="shared" si="4"/>
        <v>4250.4205746121179</v>
      </c>
    </row>
    <row r="144" spans="1:4" ht="18.75" customHeight="1" x14ac:dyDescent="0.25">
      <c r="A144" s="3">
        <v>7</v>
      </c>
      <c r="B144" s="18">
        <f t="shared" ref="B144:B147" si="5">D143/1000</f>
        <v>4.250420574612118</v>
      </c>
      <c r="C144" s="16">
        <f t="shared" si="3"/>
        <v>0.46389756266174254</v>
      </c>
      <c r="D144" s="11">
        <f t="shared" si="4"/>
        <v>4250.4211288412771</v>
      </c>
    </row>
    <row r="145" spans="1:5" x14ac:dyDescent="0.25">
      <c r="A145" s="3">
        <v>8</v>
      </c>
      <c r="B145" s="18">
        <f t="shared" si="5"/>
        <v>4.2504211288412774</v>
      </c>
      <c r="C145" s="16">
        <f t="shared" si="3"/>
        <v>0.46389749275722414</v>
      </c>
      <c r="D145" s="11">
        <f t="shared" si="4"/>
        <v>4250.4210851058697</v>
      </c>
    </row>
    <row r="146" spans="1:5" x14ac:dyDescent="0.25">
      <c r="A146" s="3">
        <v>9</v>
      </c>
      <c r="B146" s="18">
        <f t="shared" si="5"/>
        <v>4.2504210851058692</v>
      </c>
      <c r="C146" s="16">
        <f t="shared" si="3"/>
        <v>0.4638974982735391</v>
      </c>
      <c r="D146" s="11">
        <f t="shared" si="4"/>
        <v>4250.4210885571238</v>
      </c>
    </row>
    <row r="147" spans="1:5" x14ac:dyDescent="0.25">
      <c r="A147" s="3">
        <v>10</v>
      </c>
      <c r="B147" s="18">
        <f t="shared" si="5"/>
        <v>4.2504210885571236</v>
      </c>
      <c r="C147" s="16">
        <f t="shared" si="3"/>
        <v>0.46389749783823497</v>
      </c>
      <c r="D147" s="11">
        <f t="shared" si="4"/>
        <v>4250.4210882847783</v>
      </c>
    </row>
    <row r="149" spans="1:5" x14ac:dyDescent="0.25">
      <c r="A149" s="30" t="s">
        <v>152</v>
      </c>
      <c r="B149" s="30"/>
      <c r="C149" s="31"/>
      <c r="D149" s="30">
        <f>D147/1000</f>
        <v>4.2504210882847779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3.4068987357089608</v>
      </c>
      <c r="C152" s="28">
        <f>IF(F123=TRUE,D149,MIN(D149,D123))</f>
        <v>3.4068987357089608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workbookViewId="0">
      <selection activeCell="A14" sqref="A14:A19"/>
    </sheetView>
  </sheetViews>
  <sheetFormatPr defaultRowHeight="15" x14ac:dyDescent="0.25"/>
  <sheetData>
    <row r="1" spans="1:7" x14ac:dyDescent="0.25">
      <c r="A1">
        <v>84.680167999999995</v>
      </c>
      <c r="B1">
        <v>62.169303999999997</v>
      </c>
      <c r="C1">
        <v>62.937088000000003</v>
      </c>
      <c r="F1">
        <v>89.002960000000002</v>
      </c>
      <c r="G1">
        <v>73.551322999999996</v>
      </c>
    </row>
    <row r="2" spans="1:7" x14ac:dyDescent="0.25">
      <c r="A2">
        <v>147.55038500000001</v>
      </c>
      <c r="B2">
        <v>86.375174999999999</v>
      </c>
      <c r="C2">
        <v>86.789742000000004</v>
      </c>
      <c r="F2">
        <v>139.55946399999999</v>
      </c>
      <c r="G2">
        <v>101.054169</v>
      </c>
    </row>
    <row r="3" spans="1:7" x14ac:dyDescent="0.25">
      <c r="A3">
        <v>347.71676600000001</v>
      </c>
      <c r="B3">
        <v>238.18895000000001</v>
      </c>
      <c r="C3">
        <v>244.65303</v>
      </c>
      <c r="F3">
        <v>429.44787600000001</v>
      </c>
      <c r="G3">
        <v>300.14373799999998</v>
      </c>
    </row>
    <row r="4" spans="1:7" x14ac:dyDescent="0.25">
      <c r="A4">
        <v>362.96585099999999</v>
      </c>
      <c r="B4">
        <v>285.04296900000003</v>
      </c>
      <c r="C4">
        <v>281.92465199999998</v>
      </c>
      <c r="F4">
        <v>447.84811400000001</v>
      </c>
      <c r="G4">
        <v>340.54977400000001</v>
      </c>
    </row>
    <row r="5" spans="1:7" x14ac:dyDescent="0.25">
      <c r="A5">
        <v>415.96163899999999</v>
      </c>
      <c r="B5">
        <v>379.559753</v>
      </c>
      <c r="C5">
        <v>350.82693499999999</v>
      </c>
      <c r="F5">
        <v>523.47735599999999</v>
      </c>
      <c r="G5">
        <v>435.56613199999998</v>
      </c>
    </row>
    <row r="6" spans="1:7" x14ac:dyDescent="0.25">
      <c r="A6">
        <v>458.76711999999998</v>
      </c>
      <c r="B6">
        <v>437.77081299999998</v>
      </c>
      <c r="C6">
        <v>410.98623700000002</v>
      </c>
      <c r="F6">
        <v>592.89984100000004</v>
      </c>
      <c r="G6">
        <v>513.96002199999998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G53"/>
  <sheetViews>
    <sheetView zoomScale="85" zoomScaleNormal="85" workbookViewId="0">
      <selection activeCell="G16" sqref="G16"/>
    </sheetView>
  </sheetViews>
  <sheetFormatPr defaultRowHeight="15.75" x14ac:dyDescent="0.25"/>
  <cols>
    <col min="1" max="1" width="62.140625" style="3" customWidth="1"/>
    <col min="2" max="2" width="13.140625" style="2" customWidth="1"/>
    <col min="3" max="3" width="15" style="3" bestFit="1" customWidth="1"/>
    <col min="4" max="4" width="11.140625" style="3" customWidth="1"/>
    <col min="5" max="5" width="9.140625" style="3"/>
    <col min="6" max="6" width="18.140625" style="3" customWidth="1"/>
    <col min="7" max="7" width="12.28515625" style="3" customWidth="1"/>
    <col min="8" max="16384" width="9.140625" style="3"/>
  </cols>
  <sheetData>
    <row r="1" spans="1:7" x14ac:dyDescent="0.25">
      <c r="A1" s="1" t="s">
        <v>131</v>
      </c>
    </row>
    <row r="2" spans="1:7" x14ac:dyDescent="0.25">
      <c r="A2" s="2" t="s">
        <v>0</v>
      </c>
    </row>
    <row r="4" spans="1:7" ht="21" customHeight="1" x14ac:dyDescent="0.25">
      <c r="A4" s="21" t="s">
        <v>24</v>
      </c>
      <c r="B4" s="4"/>
      <c r="C4" s="5"/>
      <c r="D4" s="5"/>
      <c r="F4" s="59" t="s">
        <v>151</v>
      </c>
      <c r="G4" s="59"/>
    </row>
    <row r="5" spans="1:7" ht="20.25" customHeight="1" x14ac:dyDescent="0.25">
      <c r="A5" s="5" t="s">
        <v>167</v>
      </c>
      <c r="B5" s="4" t="s">
        <v>1</v>
      </c>
      <c r="C5" s="6">
        <v>88.25</v>
      </c>
      <c r="D5" s="5" t="s">
        <v>2</v>
      </c>
      <c r="F5" s="59"/>
      <c r="G5" s="59"/>
    </row>
    <row r="6" spans="1:7" ht="20.25" customHeight="1" x14ac:dyDescent="0.25">
      <c r="A6" s="5" t="s">
        <v>168</v>
      </c>
      <c r="B6" s="4" t="s">
        <v>3</v>
      </c>
      <c r="C6" s="6">
        <v>35.25</v>
      </c>
      <c r="D6" s="5" t="s">
        <v>2</v>
      </c>
      <c r="F6" s="59"/>
      <c r="G6" s="59"/>
    </row>
    <row r="7" spans="1:7" ht="20.25" customHeight="1" x14ac:dyDescent="0.25">
      <c r="A7" s="5" t="s">
        <v>169</v>
      </c>
      <c r="B7" s="4" t="s">
        <v>4</v>
      </c>
      <c r="C7" s="6">
        <v>6.625</v>
      </c>
      <c r="D7" s="5" t="s">
        <v>2</v>
      </c>
      <c r="F7" s="59"/>
      <c r="G7" s="59"/>
    </row>
    <row r="8" spans="1:7" ht="20.25" customHeight="1" x14ac:dyDescent="0.25">
      <c r="A8" s="5" t="s">
        <v>27</v>
      </c>
      <c r="B8" s="4" t="s">
        <v>5</v>
      </c>
      <c r="C8" s="6">
        <v>0.75</v>
      </c>
      <c r="D8" s="5" t="s">
        <v>2</v>
      </c>
      <c r="F8" s="60">
        <f>MIN($C$38,$C$43,$C$48)/1000</f>
        <v>17.171690277075871</v>
      </c>
      <c r="G8" s="61" t="s">
        <v>8</v>
      </c>
    </row>
    <row r="9" spans="1:7" ht="20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60"/>
      <c r="G9" s="61"/>
    </row>
    <row r="10" spans="1:7" ht="17.25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</row>
    <row r="11" spans="1:7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7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7" ht="19.5" x14ac:dyDescent="0.3">
      <c r="A13" s="5" t="s">
        <v>113</v>
      </c>
      <c r="B13" s="4" t="s">
        <v>112</v>
      </c>
      <c r="C13" s="22">
        <f>'Input-Output Screen'!C13</f>
        <v>23878</v>
      </c>
      <c r="D13" s="5" t="s">
        <v>51</v>
      </c>
    </row>
    <row r="14" spans="1:7" x14ac:dyDescent="0.25">
      <c r="A14" s="5"/>
      <c r="B14" s="4"/>
      <c r="C14" s="5"/>
      <c r="D14" s="5"/>
    </row>
    <row r="15" spans="1:7" ht="18.75" x14ac:dyDescent="0.25">
      <c r="A15" s="21" t="s">
        <v>137</v>
      </c>
      <c r="B15" s="4"/>
      <c r="C15" s="5"/>
      <c r="D15" s="5"/>
    </row>
    <row r="16" spans="1:7" ht="17.25" x14ac:dyDescent="0.3">
      <c r="A16" s="5" t="s">
        <v>33</v>
      </c>
      <c r="B16" s="4" t="s">
        <v>58</v>
      </c>
      <c r="C16" s="22">
        <f>'Input-Output Screen'!C16</f>
        <v>200000</v>
      </c>
      <c r="D16" s="5" t="s">
        <v>6</v>
      </c>
    </row>
    <row r="17" spans="1:4" ht="17.25" x14ac:dyDescent="0.3">
      <c r="A17" s="5" t="s">
        <v>34</v>
      </c>
      <c r="B17" s="4" t="s">
        <v>59</v>
      </c>
      <c r="C17" s="6">
        <f>'Input-Output Screen'!C17</f>
        <v>550</v>
      </c>
      <c r="D17" s="5" t="s">
        <v>6</v>
      </c>
    </row>
    <row r="18" spans="1:4" x14ac:dyDescent="0.25">
      <c r="A18" s="5"/>
      <c r="B18" s="4"/>
      <c r="C18" s="5"/>
      <c r="D18" s="5"/>
    </row>
    <row r="19" spans="1:4" x14ac:dyDescent="0.25">
      <c r="A19" s="21" t="s">
        <v>106</v>
      </c>
      <c r="B19" s="4"/>
      <c r="C19" s="5"/>
      <c r="D19" s="5"/>
    </row>
    <row r="20" spans="1:4" ht="18.75" x14ac:dyDescent="0.25">
      <c r="A20" s="5" t="s">
        <v>126</v>
      </c>
      <c r="B20" s="4"/>
      <c r="C20" s="24">
        <f>'Input-Output Screen'!C21</f>
        <v>0.1234</v>
      </c>
      <c r="D20" s="5"/>
    </row>
    <row r="21" spans="1:4" ht="18.75" customHeight="1" x14ac:dyDescent="0.25">
      <c r="A21" s="5" t="s">
        <v>130</v>
      </c>
      <c r="B21" s="4"/>
      <c r="C21" s="24">
        <f>'Input-Output Screen'!C22</f>
        <v>0.28506999999999999</v>
      </c>
      <c r="D21" s="5"/>
    </row>
    <row r="22" spans="1:4" x14ac:dyDescent="0.25">
      <c r="A22" s="5"/>
      <c r="B22" s="5"/>
      <c r="C22" s="5"/>
      <c r="D22" s="5"/>
    </row>
    <row r="24" spans="1:4" x14ac:dyDescent="0.25">
      <c r="A24" s="1" t="s">
        <v>111</v>
      </c>
    </row>
    <row r="25" spans="1:4" ht="17.25" x14ac:dyDescent="0.3">
      <c r="A25" s="3" t="s">
        <v>127</v>
      </c>
      <c r="B25" s="2" t="s">
        <v>132</v>
      </c>
      <c r="C25" s="7">
        <f>($C$12/$C$11)^0.5</f>
        <v>36.155225065334221</v>
      </c>
      <c r="D25" s="3" t="s">
        <v>2</v>
      </c>
    </row>
    <row r="26" spans="1:4" ht="17.25" x14ac:dyDescent="0.3">
      <c r="A26" s="3" t="s">
        <v>128</v>
      </c>
      <c r="B26" s="2" t="s">
        <v>133</v>
      </c>
      <c r="C26" s="7">
        <f>($C$13/$C$11)^0.5</f>
        <v>13.6473987182453</v>
      </c>
      <c r="D26" s="3" t="s">
        <v>2</v>
      </c>
    </row>
    <row r="28" spans="1:4" ht="17.25" x14ac:dyDescent="0.3">
      <c r="A28" s="1" t="s">
        <v>138</v>
      </c>
    </row>
    <row r="29" spans="1:4" x14ac:dyDescent="0.25">
      <c r="A29" s="3" t="s">
        <v>110</v>
      </c>
    </row>
    <row r="30" spans="1:4" ht="17.25" x14ac:dyDescent="0.3">
      <c r="A30" s="3" t="s">
        <v>114</v>
      </c>
      <c r="B30" s="2" t="s">
        <v>125</v>
      </c>
      <c r="C30" s="8">
        <f>(3.141592654)^2*$C$16/($C$9/$C$25)^2</f>
        <v>286.70110739258166</v>
      </c>
      <c r="D30" s="3" t="s">
        <v>129</v>
      </c>
    </row>
    <row r="31" spans="1:4" ht="17.25" x14ac:dyDescent="0.3">
      <c r="A31" s="3" t="s">
        <v>115</v>
      </c>
      <c r="B31" s="2" t="s">
        <v>124</v>
      </c>
      <c r="C31" s="8">
        <f>(3.141592654)^2*$C$16/($C$10/$C$26)^2</f>
        <v>367.64570868194198</v>
      </c>
      <c r="D31" s="3" t="s">
        <v>6</v>
      </c>
    </row>
    <row r="32" spans="1:4" ht="17.25" x14ac:dyDescent="0.3">
      <c r="A32" s="3" t="s">
        <v>116</v>
      </c>
      <c r="B32" s="2" t="s">
        <v>123</v>
      </c>
      <c r="C32" s="8">
        <f>MIN(C30:C31)</f>
        <v>286.70110739258166</v>
      </c>
      <c r="D32" s="3" t="s">
        <v>6</v>
      </c>
    </row>
    <row r="33" spans="1:6" x14ac:dyDescent="0.25">
      <c r="C33" s="8"/>
    </row>
    <row r="34" spans="1:6" ht="17.25" x14ac:dyDescent="0.3">
      <c r="A34" s="3" t="s">
        <v>117</v>
      </c>
      <c r="B34" s="2" t="s">
        <v>122</v>
      </c>
      <c r="C34" s="23">
        <f>C11*C32</f>
        <v>36755.942071051148</v>
      </c>
      <c r="D34" s="3" t="s">
        <v>118</v>
      </c>
    </row>
    <row r="35" spans="1:6" ht="17.25" x14ac:dyDescent="0.3">
      <c r="A35" s="3" t="s">
        <v>119</v>
      </c>
      <c r="B35" s="2" t="s">
        <v>121</v>
      </c>
      <c r="C35" s="23">
        <f>$C$11*$C$17</f>
        <v>70511.650000000009</v>
      </c>
      <c r="D35" s="3" t="s">
        <v>118</v>
      </c>
    </row>
    <row r="37" spans="1:6" ht="17.25" x14ac:dyDescent="0.3">
      <c r="A37" s="3" t="s">
        <v>10</v>
      </c>
      <c r="B37" s="2" t="s">
        <v>91</v>
      </c>
      <c r="C37" s="16">
        <f>SQRT($C$35/$C$34)</f>
        <v>1.3850538522830083</v>
      </c>
    </row>
    <row r="38" spans="1:6" ht="17.25" x14ac:dyDescent="0.3">
      <c r="A38" s="26" t="s">
        <v>21</v>
      </c>
      <c r="B38" s="26" t="s">
        <v>141</v>
      </c>
      <c r="C38" s="27">
        <f>IF(C37&lt;=1.5,(0.658^(C37^2))*C35,(0.877/(C37^2))*C35)</f>
        <v>31590.036399003002</v>
      </c>
      <c r="D38" s="26" t="s">
        <v>118</v>
      </c>
    </row>
    <row r="39" spans="1:6" x14ac:dyDescent="0.25">
      <c r="C39" s="7"/>
    </row>
    <row r="40" spans="1:6" ht="17.25" x14ac:dyDescent="0.3">
      <c r="A40" s="1" t="s">
        <v>139</v>
      </c>
      <c r="C40" s="7"/>
    </row>
    <row r="41" spans="1:6" ht="17.25" x14ac:dyDescent="0.3">
      <c r="A41" s="3" t="s">
        <v>120</v>
      </c>
      <c r="B41" s="2" t="s">
        <v>61</v>
      </c>
      <c r="C41" s="23">
        <f>$C$20*$C$11*$C$17</f>
        <v>8701.1376099999998</v>
      </c>
      <c r="D41" s="3" t="s">
        <v>118</v>
      </c>
    </row>
    <row r="42" spans="1:6" ht="17.25" x14ac:dyDescent="0.3">
      <c r="A42" s="3" t="s">
        <v>10</v>
      </c>
      <c r="B42" s="2" t="s">
        <v>93</v>
      </c>
      <c r="C42" s="16">
        <f>SQRT(C38/C41)</f>
        <v>1.9054038770944497</v>
      </c>
      <c r="F42" s="3">
        <f>SQRT(C35/C41)</f>
        <v>2.8467047115478601</v>
      </c>
    </row>
    <row r="43" spans="1:6" ht="17.25" x14ac:dyDescent="0.3">
      <c r="A43" s="26" t="s">
        <v>11</v>
      </c>
      <c r="B43" s="26" t="s">
        <v>142</v>
      </c>
      <c r="C43" s="27">
        <f>IF(C42&lt;0.776,C38,(1-0.15*(C41/C38)^0.4)*((C41/C38)^0.4)*C38)</f>
        <v>17171.690277075872</v>
      </c>
      <c r="D43" s="26" t="s">
        <v>8</v>
      </c>
      <c r="F43" s="3">
        <f>IF(C42&lt;0.776,C35,(1-0.15*(C41/C35)^0.4)*((C41/C35)^0.4)*C35)</f>
        <v>28550.855406715713</v>
      </c>
    </row>
    <row r="44" spans="1:6" x14ac:dyDescent="0.25">
      <c r="C44" s="9"/>
    </row>
    <row r="45" spans="1:6" ht="17.25" x14ac:dyDescent="0.3">
      <c r="A45" s="1" t="s">
        <v>140</v>
      </c>
      <c r="C45" s="7"/>
    </row>
    <row r="46" spans="1:6" ht="17.25" x14ac:dyDescent="0.3">
      <c r="A46" s="3" t="s">
        <v>136</v>
      </c>
      <c r="B46" s="2" t="s">
        <v>134</v>
      </c>
      <c r="C46" s="23">
        <f>$C$21*$C$11*$C$17</f>
        <v>20100.756065499998</v>
      </c>
      <c r="D46" s="3" t="s">
        <v>8</v>
      </c>
    </row>
    <row r="47" spans="1:6" ht="17.25" x14ac:dyDescent="0.3">
      <c r="A47" s="3" t="s">
        <v>10</v>
      </c>
      <c r="B47" s="2" t="s">
        <v>135</v>
      </c>
      <c r="C47" s="16">
        <f>SQRT(C35/C46)</f>
        <v>1.8729416269098635</v>
      </c>
    </row>
    <row r="48" spans="1:6" ht="17.25" x14ac:dyDescent="0.3">
      <c r="A48" s="26" t="s">
        <v>196</v>
      </c>
      <c r="B48" s="26" t="s">
        <v>143</v>
      </c>
      <c r="C48" s="27">
        <f>IF(C47&lt;0.561,C35,(1-0.25*(C46/C35)^0.6)*((C46/C35)^0.6)*C35)</f>
        <v>29297.470555831096</v>
      </c>
      <c r="D48" s="26" t="s">
        <v>8</v>
      </c>
    </row>
    <row r="49" spans="1:4" x14ac:dyDescent="0.25">
      <c r="C49" s="9"/>
    </row>
    <row r="50" spans="1:4" ht="49.5" customHeight="1" x14ac:dyDescent="0.25">
      <c r="A50" s="59" t="s">
        <v>151</v>
      </c>
      <c r="B50" s="59"/>
      <c r="C50" s="32">
        <f>MIN(C38,C43,C48)/1000</f>
        <v>17.171690277075871</v>
      </c>
      <c r="D50" s="29" t="s">
        <v>118</v>
      </c>
    </row>
    <row r="51" spans="1:4" x14ac:dyDescent="0.25">
      <c r="B51" s="3"/>
    </row>
    <row r="53" spans="1:4" ht="60.75" customHeight="1" x14ac:dyDescent="0.25">
      <c r="A53" s="59" t="s">
        <v>197</v>
      </c>
      <c r="B53" s="59"/>
      <c r="C53" s="32">
        <f>MIN(C38,C43)/1000</f>
        <v>17.171690277075871</v>
      </c>
      <c r="D53" s="29" t="s">
        <v>118</v>
      </c>
    </row>
  </sheetData>
  <mergeCells count="5">
    <mergeCell ref="A50:B50"/>
    <mergeCell ref="F8:F9"/>
    <mergeCell ref="G8:G9"/>
    <mergeCell ref="F4:G7"/>
    <mergeCell ref="A53:B53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H153"/>
  <sheetViews>
    <sheetView zoomScale="85" zoomScaleNormal="85" workbookViewId="0">
      <selection activeCell="G19" sqref="G19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Screen'!F7</f>
        <v>30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Screen'!G7</f>
        <v>89.002960000000002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Screen'!H7</f>
        <v>73.551322999999996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81.277141499999999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188476.50567999997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191056.92905899999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189766.71736949999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195742.30482081289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8.3023659039585601E-6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2.1524353051869896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5069484.9676743727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86439220.700176179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347449181.49090278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405238985.20505583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33.640376917453722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0.11537691745372314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2.0370583877332664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0.11537691745372314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1209139642.7380481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5785454824.2985191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1206933556.4673693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5784487995.5381193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4528706568.6517038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18514722587.69376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38.460900000000002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20.303665281827875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8.2559316081499841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1.3763297540775932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17.405549372854818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1.4519806357011269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11.478121564678746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11.478121564678746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33.640376917453722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2811.7173346825371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843515.20040476113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1435776.7718399342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0.76648382611570054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843515.20040476113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11168.53812915382</v>
      </c>
    </row>
    <row r="113" spans="1:6" x14ac:dyDescent="0.25">
      <c r="A113" s="3">
        <v>2</v>
      </c>
      <c r="B113" s="18">
        <f>D112/1000</f>
        <v>11.16853812915382</v>
      </c>
      <c r="C113" s="16">
        <f>(1-B113/$C$80)</f>
        <v>0.4499250271255284</v>
      </c>
      <c r="D113" s="11">
        <f t="shared" si="1"/>
        <v>10812.008992033336</v>
      </c>
    </row>
    <row r="114" spans="1:6" x14ac:dyDescent="0.25">
      <c r="A114" s="3">
        <v>3</v>
      </c>
      <c r="B114" s="18">
        <f>D113/1000</f>
        <v>10.812008992033336</v>
      </c>
      <c r="C114" s="16">
        <f t="shared" si="0"/>
        <v>0.46748486827596258</v>
      </c>
      <c r="D114" s="11">
        <f t="shared" si="1"/>
        <v>10835.629213816173</v>
      </c>
    </row>
    <row r="115" spans="1:6" x14ac:dyDescent="0.25">
      <c r="A115" s="3">
        <v>4</v>
      </c>
      <c r="B115" s="18">
        <f t="shared" ref="B115:B121" si="2">D114/1000</f>
        <v>10.835629213816173</v>
      </c>
      <c r="C115" s="16">
        <f t="shared" si="0"/>
        <v>0.46632152060178789</v>
      </c>
      <c r="D115" s="11">
        <f t="shared" si="1"/>
        <v>10834.11629821217</v>
      </c>
    </row>
    <row r="116" spans="1:6" x14ac:dyDescent="0.25">
      <c r="A116" s="3">
        <v>5</v>
      </c>
      <c r="B116" s="18">
        <f t="shared" si="2"/>
        <v>10.834116298212169</v>
      </c>
      <c r="C116" s="16">
        <f t="shared" si="0"/>
        <v>0.46639603501004878</v>
      </c>
      <c r="D116" s="11">
        <f t="shared" si="1"/>
        <v>10834.213416583871</v>
      </c>
    </row>
    <row r="117" spans="1:6" x14ac:dyDescent="0.25">
      <c r="A117" s="3">
        <v>6</v>
      </c>
      <c r="B117" s="18">
        <f t="shared" si="2"/>
        <v>10.834213416583871</v>
      </c>
      <c r="C117" s="16">
        <f t="shared" si="0"/>
        <v>0.46639125171745832</v>
      </c>
      <c r="D117" s="11">
        <f t="shared" si="1"/>
        <v>10834.207183158151</v>
      </c>
    </row>
    <row r="118" spans="1:6" x14ac:dyDescent="0.25">
      <c r="A118" s="3">
        <v>7</v>
      </c>
      <c r="B118" s="18">
        <f t="shared" si="2"/>
        <v>10.834207183158151</v>
      </c>
      <c r="C118" s="16">
        <f t="shared" si="0"/>
        <v>0.46639155872733229</v>
      </c>
      <c r="D118" s="11">
        <f t="shared" si="1"/>
        <v>10834.207583246698</v>
      </c>
    </row>
    <row r="119" spans="1:6" x14ac:dyDescent="0.25">
      <c r="A119" s="3">
        <v>8</v>
      </c>
      <c r="B119" s="18">
        <f t="shared" si="2"/>
        <v>10.834207583246698</v>
      </c>
      <c r="C119" s="16">
        <f t="shared" si="0"/>
        <v>0.46639153902209485</v>
      </c>
      <c r="D119" s="11">
        <f t="shared" si="1"/>
        <v>10834.207557567279</v>
      </c>
    </row>
    <row r="120" spans="1:6" x14ac:dyDescent="0.25">
      <c r="A120" s="3">
        <v>9</v>
      </c>
      <c r="B120" s="18">
        <f t="shared" si="2"/>
        <v>10.834207557567279</v>
      </c>
      <c r="C120" s="16">
        <f t="shared" si="0"/>
        <v>0.46639154028686247</v>
      </c>
      <c r="D120" s="11">
        <f t="shared" si="1"/>
        <v>10834.207559215494</v>
      </c>
    </row>
    <row r="121" spans="1:6" x14ac:dyDescent="0.25">
      <c r="A121" s="3">
        <v>10</v>
      </c>
      <c r="B121" s="18">
        <f t="shared" si="2"/>
        <v>10.834207559215494</v>
      </c>
      <c r="C121" s="16">
        <f t="shared" si="0"/>
        <v>0.4663915402056843</v>
      </c>
      <c r="D121" s="11">
        <f t="shared" si="1"/>
        <v>10834.207559109705</v>
      </c>
    </row>
    <row r="123" spans="1:6" x14ac:dyDescent="0.25">
      <c r="A123" s="30" t="s">
        <v>153</v>
      </c>
      <c r="B123" s="30"/>
      <c r="C123" s="31"/>
      <c r="D123" s="30">
        <f>D121/1000</f>
        <v>10.834207559109705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843515.20040476113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1435776.7718399342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0.76648382611570054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843515.20040476113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11460.129278285727</v>
      </c>
    </row>
    <row r="139" spans="1:4" x14ac:dyDescent="0.25">
      <c r="A139" s="3">
        <v>2</v>
      </c>
      <c r="B139" s="18">
        <f>D138/1000</f>
        <v>11.460129278285727</v>
      </c>
      <c r="C139" s="16">
        <f t="shared" si="3"/>
        <v>0.43556352416118993</v>
      </c>
      <c r="D139" s="11">
        <f t="shared" si="4"/>
        <v>11436.897239563088</v>
      </c>
    </row>
    <row r="140" spans="1:4" x14ac:dyDescent="0.25">
      <c r="A140" s="3">
        <v>3</v>
      </c>
      <c r="B140" s="18">
        <f>D139/1000</f>
        <v>11.436897239563088</v>
      </c>
      <c r="C140" s="16">
        <f t="shared" si="3"/>
        <v>0.43670775296914965</v>
      </c>
      <c r="D140" s="11">
        <f t="shared" si="4"/>
        <v>11437.004865517545</v>
      </c>
    </row>
    <row r="141" spans="1:4" x14ac:dyDescent="0.25">
      <c r="A141" s="3">
        <v>4</v>
      </c>
      <c r="B141" s="18">
        <f>D140/1000</f>
        <v>11.437004865517546</v>
      </c>
      <c r="C141" s="16">
        <f t="shared" si="3"/>
        <v>0.43670245215508652</v>
      </c>
      <c r="D141" s="11">
        <f t="shared" si="4"/>
        <v>11437.004368219617</v>
      </c>
    </row>
    <row r="142" spans="1:4" x14ac:dyDescent="0.25">
      <c r="A142" s="3">
        <v>5</v>
      </c>
      <c r="B142" s="18">
        <f>D141/1000</f>
        <v>11.437004368219617</v>
      </c>
      <c r="C142" s="16">
        <f t="shared" si="3"/>
        <v>0.43670247664809914</v>
      </c>
      <c r="D142" s="11">
        <f t="shared" si="4"/>
        <v>11437.004370517467</v>
      </c>
    </row>
    <row r="143" spans="1:4" x14ac:dyDescent="0.25">
      <c r="A143" s="3">
        <v>6</v>
      </c>
      <c r="B143" s="18">
        <f>D142/1000</f>
        <v>11.437004370517467</v>
      </c>
      <c r="C143" s="16">
        <f t="shared" si="3"/>
        <v>0.436702476534925</v>
      </c>
      <c r="D143" s="11">
        <f t="shared" si="4"/>
        <v>11437.004370506849</v>
      </c>
    </row>
    <row r="144" spans="1:4" ht="18.75" customHeight="1" x14ac:dyDescent="0.25">
      <c r="A144" s="3">
        <v>7</v>
      </c>
      <c r="B144" s="18">
        <f t="shared" ref="B144:B147" si="5">D143/1000</f>
        <v>11.43700437050685</v>
      </c>
      <c r="C144" s="16">
        <f t="shared" si="3"/>
        <v>0.43670247653544791</v>
      </c>
      <c r="D144" s="11">
        <f t="shared" si="4"/>
        <v>11437.004370506897</v>
      </c>
    </row>
    <row r="145" spans="1:5" x14ac:dyDescent="0.25">
      <c r="A145" s="3">
        <v>8</v>
      </c>
      <c r="B145" s="18">
        <f t="shared" si="5"/>
        <v>11.437004370506896</v>
      </c>
      <c r="C145" s="16">
        <f t="shared" si="3"/>
        <v>0.43670247653544558</v>
      </c>
      <c r="D145" s="11">
        <f t="shared" si="4"/>
        <v>11437.004370506897</v>
      </c>
    </row>
    <row r="146" spans="1:5" x14ac:dyDescent="0.25">
      <c r="A146" s="3">
        <v>9</v>
      </c>
      <c r="B146" s="18">
        <f t="shared" si="5"/>
        <v>11.437004370506896</v>
      </c>
      <c r="C146" s="16">
        <f t="shared" si="3"/>
        <v>0.43670247653544558</v>
      </c>
      <c r="D146" s="11">
        <f t="shared" si="4"/>
        <v>11437.004370506897</v>
      </c>
    </row>
    <row r="147" spans="1:5" x14ac:dyDescent="0.25">
      <c r="A147" s="3">
        <v>10</v>
      </c>
      <c r="B147" s="18">
        <f t="shared" si="5"/>
        <v>11.437004370506896</v>
      </c>
      <c r="C147" s="16">
        <f t="shared" si="3"/>
        <v>0.43670247653544558</v>
      </c>
      <c r="D147" s="11">
        <f t="shared" si="4"/>
        <v>11437.004370506897</v>
      </c>
    </row>
    <row r="149" spans="1:5" x14ac:dyDescent="0.25">
      <c r="A149" s="30" t="s">
        <v>152</v>
      </c>
      <c r="B149" s="30"/>
      <c r="C149" s="31"/>
      <c r="D149" s="30">
        <f>D147/1000</f>
        <v>11.437004370506896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10.834207559109705</v>
      </c>
      <c r="C152" s="28">
        <f>IF(F123=TRUE,D149,MIN(D149,D123))</f>
        <v>10.834207559109705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3"/>
  <sheetViews>
    <sheetView zoomScale="85" zoomScaleNormal="85" workbookViewId="0">
      <selection activeCell="C2" sqref="C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Screen'!F8</f>
        <v>60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Screen'!G8</f>
        <v>139.55946399999999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Screen'!H8</f>
        <v>101.054169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120.3068165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180033.56951199999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186463.95377699999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183248.76164449999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189019.10438810854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9.9926172788611895E-6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6.4558502708833432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4842393.862434024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84361236.896989152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339096563.71253353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391320160.02736425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33.822744595027828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0.29774459502782946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6.1581056758555137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0.29774459502782946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1169043463.8958445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5586366867.3307562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1163549386.5580802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5583970681.5061531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4374037575.8890686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17876967975.179901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38.460900000000002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19.604289089552118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7.9723634596544217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1.4006646636569451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16.92013491652423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1.4568282882228891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11.132012800895961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11.132012800895961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33.822744595027828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2796.2713623943901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838881.40871831705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1386461.8574041522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0.77785083397786603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837526.45029486204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10289.786737980947</v>
      </c>
    </row>
    <row r="113" spans="1:6" x14ac:dyDescent="0.25">
      <c r="A113" s="3">
        <v>2</v>
      </c>
      <c r="B113" s="18">
        <f>D112/1000</f>
        <v>10.289786737980947</v>
      </c>
      <c r="C113" s="16">
        <f>(1-B113/$C$80)</f>
        <v>0.47512573952682779</v>
      </c>
      <c r="D113" s="11">
        <f t="shared" si="1"/>
        <v>9496.1036218231384</v>
      </c>
    </row>
    <row r="114" spans="1:6" x14ac:dyDescent="0.25">
      <c r="A114" s="3">
        <v>3</v>
      </c>
      <c r="B114" s="18">
        <f>D113/1000</f>
        <v>9.4961036218231385</v>
      </c>
      <c r="C114" s="16">
        <f t="shared" si="0"/>
        <v>0.5156109166496643</v>
      </c>
      <c r="D114" s="11">
        <f t="shared" si="1"/>
        <v>9606.9560565452321</v>
      </c>
    </row>
    <row r="115" spans="1:6" x14ac:dyDescent="0.25">
      <c r="A115" s="3">
        <v>4</v>
      </c>
      <c r="B115" s="18">
        <f t="shared" ref="B115:B121" si="2">D114/1000</f>
        <v>9.6069560565452328</v>
      </c>
      <c r="C115" s="16">
        <f t="shared" si="0"/>
        <v>0.50995641756450372</v>
      </c>
      <c r="D115" s="11">
        <f t="shared" si="1"/>
        <v>9592.384700488512</v>
      </c>
    </row>
    <row r="116" spans="1:6" x14ac:dyDescent="0.25">
      <c r="A116" s="3">
        <v>5</v>
      </c>
      <c r="B116" s="18">
        <f t="shared" si="2"/>
        <v>9.5923847004885126</v>
      </c>
      <c r="C116" s="16">
        <f t="shared" si="0"/>
        <v>0.51069969144656902</v>
      </c>
      <c r="D116" s="11">
        <f t="shared" si="1"/>
        <v>9594.3159546168736</v>
      </c>
    </row>
    <row r="117" spans="1:6" x14ac:dyDescent="0.25">
      <c r="A117" s="3">
        <v>6</v>
      </c>
      <c r="B117" s="18">
        <f t="shared" si="2"/>
        <v>9.5943159546168744</v>
      </c>
      <c r="C117" s="16">
        <f t="shared" si="0"/>
        <v>0.51060117963012208</v>
      </c>
      <c r="D117" s="11">
        <f t="shared" si="1"/>
        <v>9594.0602691861022</v>
      </c>
    </row>
    <row r="118" spans="1:6" x14ac:dyDescent="0.25">
      <c r="A118" s="3">
        <v>7</v>
      </c>
      <c r="B118" s="18">
        <f t="shared" si="2"/>
        <v>9.5940602691861017</v>
      </c>
      <c r="C118" s="16">
        <f t="shared" si="0"/>
        <v>0.51061422195109607</v>
      </c>
      <c r="D118" s="11">
        <f t="shared" si="1"/>
        <v>9594.09412515027</v>
      </c>
    </row>
    <row r="119" spans="1:6" x14ac:dyDescent="0.25">
      <c r="A119" s="3">
        <v>8</v>
      </c>
      <c r="B119" s="18">
        <f t="shared" si="2"/>
        <v>9.5940941251502707</v>
      </c>
      <c r="C119" s="16">
        <f t="shared" si="0"/>
        <v>0.51061249498389949</v>
      </c>
      <c r="D119" s="11">
        <f t="shared" si="1"/>
        <v>9594.0896422807728</v>
      </c>
    </row>
    <row r="120" spans="1:6" x14ac:dyDescent="0.25">
      <c r="A120" s="3">
        <v>9</v>
      </c>
      <c r="B120" s="18">
        <f t="shared" si="2"/>
        <v>9.5940896422807729</v>
      </c>
      <c r="C120" s="16">
        <f t="shared" si="0"/>
        <v>0.51061272365169152</v>
      </c>
      <c r="D120" s="11">
        <f t="shared" si="1"/>
        <v>9594.0902358591939</v>
      </c>
    </row>
    <row r="121" spans="1:6" x14ac:dyDescent="0.25">
      <c r="A121" s="3">
        <v>10</v>
      </c>
      <c r="B121" s="18">
        <f t="shared" si="2"/>
        <v>9.5940902358591931</v>
      </c>
      <c r="C121" s="16">
        <f t="shared" si="0"/>
        <v>0.51061269337370385</v>
      </c>
      <c r="D121" s="11">
        <f t="shared" si="1"/>
        <v>9594.0901572632793</v>
      </c>
    </row>
    <row r="123" spans="1:6" x14ac:dyDescent="0.25">
      <c r="A123" s="30" t="s">
        <v>153</v>
      </c>
      <c r="B123" s="30"/>
      <c r="C123" s="31"/>
      <c r="D123" s="30">
        <f>D121/1000</f>
        <v>9.5940901572632793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838881.40871831705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1386461.8574041522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0.77785083397786603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837526.45029486204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11088.131708763713</v>
      </c>
    </row>
    <row r="139" spans="1:4" x14ac:dyDescent="0.25">
      <c r="A139" s="3">
        <v>2</v>
      </c>
      <c r="B139" s="18">
        <f>D138/1000</f>
        <v>11.088131708763713</v>
      </c>
      <c r="C139" s="16">
        <f t="shared" si="3"/>
        <v>0.43440276471575767</v>
      </c>
      <c r="D139" s="11">
        <f t="shared" si="4"/>
        <v>11031.513836765329</v>
      </c>
    </row>
    <row r="140" spans="1:4" x14ac:dyDescent="0.25">
      <c r="A140" s="3">
        <v>3</v>
      </c>
      <c r="B140" s="18">
        <f>D139/1000</f>
        <v>11.031513836765329</v>
      </c>
      <c r="C140" s="16">
        <f t="shared" si="3"/>
        <v>0.43729079966258766</v>
      </c>
      <c r="D140" s="11">
        <f t="shared" si="4"/>
        <v>11032.171617275691</v>
      </c>
    </row>
    <row r="141" spans="1:4" x14ac:dyDescent="0.25">
      <c r="A141" s="3">
        <v>4</v>
      </c>
      <c r="B141" s="18">
        <f>D140/1000</f>
        <v>11.032171617275692</v>
      </c>
      <c r="C141" s="16">
        <f t="shared" si="3"/>
        <v>0.43725724677488242</v>
      </c>
      <c r="D141" s="11">
        <f t="shared" si="4"/>
        <v>11032.164024691407</v>
      </c>
    </row>
    <row r="142" spans="1:4" x14ac:dyDescent="0.25">
      <c r="A142" s="3">
        <v>5</v>
      </c>
      <c r="B142" s="18">
        <f>D141/1000</f>
        <v>11.032164024691406</v>
      </c>
      <c r="C142" s="16">
        <f t="shared" si="3"/>
        <v>0.43725763406688023</v>
      </c>
      <c r="D142" s="11">
        <f t="shared" si="4"/>
        <v>11032.164112337163</v>
      </c>
    </row>
    <row r="143" spans="1:4" x14ac:dyDescent="0.25">
      <c r="A143" s="3">
        <v>6</v>
      </c>
      <c r="B143" s="18">
        <f>D142/1000</f>
        <v>11.032164112337163</v>
      </c>
      <c r="C143" s="16">
        <f t="shared" si="3"/>
        <v>0.43725762959613623</v>
      </c>
      <c r="D143" s="11">
        <f t="shared" si="4"/>
        <v>11032.164111325415</v>
      </c>
    </row>
    <row r="144" spans="1:4" ht="18.75" customHeight="1" x14ac:dyDescent="0.25">
      <c r="A144" s="3">
        <v>7</v>
      </c>
      <c r="B144" s="18">
        <f t="shared" ref="B144:B147" si="5">D143/1000</f>
        <v>11.032164111325416</v>
      </c>
      <c r="C144" s="16">
        <f t="shared" si="3"/>
        <v>0.43725762964774473</v>
      </c>
      <c r="D144" s="11">
        <f t="shared" si="4"/>
        <v>11032.164111337095</v>
      </c>
    </row>
    <row r="145" spans="1:5" x14ac:dyDescent="0.25">
      <c r="A145" s="3">
        <v>8</v>
      </c>
      <c r="B145" s="18">
        <f t="shared" si="5"/>
        <v>11.032164111337096</v>
      </c>
      <c r="C145" s="16">
        <f t="shared" si="3"/>
        <v>0.43725762964714887</v>
      </c>
      <c r="D145" s="11">
        <f t="shared" si="4"/>
        <v>11032.164111336959</v>
      </c>
    </row>
    <row r="146" spans="1:5" x14ac:dyDescent="0.25">
      <c r="A146" s="3">
        <v>9</v>
      </c>
      <c r="B146" s="18">
        <f t="shared" si="5"/>
        <v>11.032164111336959</v>
      </c>
      <c r="C146" s="16">
        <f t="shared" si="3"/>
        <v>0.43725762964715587</v>
      </c>
      <c r="D146" s="11">
        <f t="shared" si="4"/>
        <v>11032.164111336961</v>
      </c>
    </row>
    <row r="147" spans="1:5" x14ac:dyDescent="0.25">
      <c r="A147" s="3">
        <v>10</v>
      </c>
      <c r="B147" s="18">
        <f t="shared" si="5"/>
        <v>11.032164111336961</v>
      </c>
      <c r="C147" s="16">
        <f t="shared" si="3"/>
        <v>0.43725762964715575</v>
      </c>
      <c r="D147" s="11">
        <f t="shared" si="4"/>
        <v>11032.164111336961</v>
      </c>
    </row>
    <row r="149" spans="1:5" x14ac:dyDescent="0.25">
      <c r="A149" s="30" t="s">
        <v>152</v>
      </c>
      <c r="B149" s="30"/>
      <c r="C149" s="31"/>
      <c r="D149" s="30">
        <f>D147/1000</f>
        <v>11.032164111336961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9.5940901572632793</v>
      </c>
      <c r="C152" s="28">
        <f>IF(F123=TRUE,D149,MIN(D149,D123))</f>
        <v>9.5940901572632793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3"/>
  <sheetViews>
    <sheetView topLeftCell="A121"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Screen'!F9</f>
        <v>75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Screen'!G9</f>
        <v>274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Screen'!H9</f>
        <v>195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234.5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150040.00000000003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170775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160705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165606.40395505563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1.1731659673659675E-5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15.550354265421381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4035651.6681250008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77263138.205859363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310565203.05937499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343178888.37468743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34.620820887403312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1.0958208874033133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14.454533378018068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1.0958208874033133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1026428203.1007118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4877965735.1623888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1009010856.9447383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4871435761.0737772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3847316314.5885577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15632156870.870174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38.460900000000002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17.142578250139948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6.9915815980752498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1.4978614756946766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15.038103067242094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1.4665903167271792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9.8476239408607249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9.8476239408607249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34.620820887403312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2726.4931860162883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817947.95580488653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1215895.5443659977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0.8201904386131974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790021.99559170497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8344.2011964852445</v>
      </c>
    </row>
    <row r="113" spans="1:6" x14ac:dyDescent="0.25">
      <c r="A113" s="3">
        <v>2</v>
      </c>
      <c r="B113" s="18">
        <f>D112/1000</f>
        <v>8.3442011964852441</v>
      </c>
      <c r="C113" s="16">
        <f>(1-B113/$C$80)</f>
        <v>0.51324701134631701</v>
      </c>
      <c r="D113" s="11">
        <f t="shared" si="1"/>
        <v>7288.8630242780291</v>
      </c>
    </row>
    <row r="114" spans="1:6" x14ac:dyDescent="0.25">
      <c r="A114" s="3">
        <v>3</v>
      </c>
      <c r="B114" s="18">
        <f>D113/1000</f>
        <v>7.2888630242780295</v>
      </c>
      <c r="C114" s="16">
        <f t="shared" si="0"/>
        <v>0.57480940626778088</v>
      </c>
      <c r="D114" s="11">
        <f t="shared" si="1"/>
        <v>7497.5074563667513</v>
      </c>
    </row>
    <row r="115" spans="1:6" x14ac:dyDescent="0.25">
      <c r="A115" s="3">
        <v>4</v>
      </c>
      <c r="B115" s="18">
        <f t="shared" ref="B115:B121" si="2">D114/1000</f>
        <v>7.4975074563667512</v>
      </c>
      <c r="C115" s="16">
        <f t="shared" si="0"/>
        <v>0.56263828305374408</v>
      </c>
      <c r="D115" s="11">
        <f t="shared" si="1"/>
        <v>7459.0004332589406</v>
      </c>
    </row>
    <row r="116" spans="1:6" x14ac:dyDescent="0.25">
      <c r="A116" s="3">
        <v>5</v>
      </c>
      <c r="B116" s="18">
        <f t="shared" si="2"/>
        <v>7.4590004332589404</v>
      </c>
      <c r="C116" s="16">
        <f t="shared" si="0"/>
        <v>0.56488456261250863</v>
      </c>
      <c r="D116" s="11">
        <f t="shared" si="1"/>
        <v>7466.2018853254604</v>
      </c>
    </row>
    <row r="117" spans="1:6" x14ac:dyDescent="0.25">
      <c r="A117" s="3">
        <v>6</v>
      </c>
      <c r="B117" s="18">
        <f t="shared" si="2"/>
        <v>7.4662018853254599</v>
      </c>
      <c r="C117" s="16">
        <f t="shared" si="0"/>
        <v>0.56446447107426745</v>
      </c>
      <c r="D117" s="11">
        <f t="shared" si="1"/>
        <v>7464.8583972617498</v>
      </c>
    </row>
    <row r="118" spans="1:6" x14ac:dyDescent="0.25">
      <c r="A118" s="3">
        <v>7</v>
      </c>
      <c r="B118" s="18">
        <f t="shared" si="2"/>
        <v>7.4648583972617502</v>
      </c>
      <c r="C118" s="16">
        <f t="shared" si="0"/>
        <v>0.56454284248632147</v>
      </c>
      <c r="D118" s="11">
        <f t="shared" si="1"/>
        <v>7465.1091506349812</v>
      </c>
    </row>
    <row r="119" spans="1:6" x14ac:dyDescent="0.25">
      <c r="A119" s="3">
        <v>8</v>
      </c>
      <c r="B119" s="18">
        <f t="shared" si="2"/>
        <v>7.4651091506349809</v>
      </c>
      <c r="C119" s="16">
        <f t="shared" si="0"/>
        <v>0.56452821496824512</v>
      </c>
      <c r="D119" s="11">
        <f t="shared" si="1"/>
        <v>7465.0623531428228</v>
      </c>
    </row>
    <row r="120" spans="1:6" x14ac:dyDescent="0.25">
      <c r="A120" s="3">
        <v>9</v>
      </c>
      <c r="B120" s="18">
        <f t="shared" si="2"/>
        <v>7.4650623531428231</v>
      </c>
      <c r="C120" s="16">
        <f t="shared" si="0"/>
        <v>0.56453094486636624</v>
      </c>
      <c r="D120" s="11">
        <f t="shared" si="1"/>
        <v>7465.0710869844934</v>
      </c>
    </row>
    <row r="121" spans="1:6" x14ac:dyDescent="0.25">
      <c r="A121" s="3">
        <v>10</v>
      </c>
      <c r="B121" s="18">
        <f t="shared" si="2"/>
        <v>7.4650710869844934</v>
      </c>
      <c r="C121" s="16">
        <f t="shared" si="0"/>
        <v>0.56453043538398018</v>
      </c>
      <c r="D121" s="11">
        <f t="shared" si="1"/>
        <v>7465.0694569876841</v>
      </c>
    </row>
    <row r="123" spans="1:6" x14ac:dyDescent="0.25">
      <c r="A123" s="30" t="s">
        <v>153</v>
      </c>
      <c r="B123" s="30"/>
      <c r="C123" s="31"/>
      <c r="D123" s="30">
        <f>D121/1000</f>
        <v>7.4650694569876839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817947.95580488653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1215895.5443659977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0.8201904386131974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790021.99559170497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9714.9238417759188</v>
      </c>
    </row>
    <row r="139" spans="1:4" x14ac:dyDescent="0.25">
      <c r="A139" s="3">
        <v>2</v>
      </c>
      <c r="B139" s="18">
        <f>D138/1000</f>
        <v>9.7149238417759189</v>
      </c>
      <c r="C139" s="16">
        <f t="shared" si="3"/>
        <v>0.43328688952044836</v>
      </c>
      <c r="D139" s="11">
        <f t="shared" si="4"/>
        <v>9546.6645084005304</v>
      </c>
    </row>
    <row r="140" spans="1:4" x14ac:dyDescent="0.25">
      <c r="A140" s="3">
        <v>3</v>
      </c>
      <c r="B140" s="18">
        <f>D139/1000</f>
        <v>9.5466645084005304</v>
      </c>
      <c r="C140" s="16">
        <f t="shared" si="3"/>
        <v>0.44310217698305721</v>
      </c>
      <c r="D140" s="11">
        <f t="shared" si="4"/>
        <v>9553.1317846503935</v>
      </c>
    </row>
    <row r="141" spans="1:4" x14ac:dyDescent="0.25">
      <c r="A141" s="3">
        <v>4</v>
      </c>
      <c r="B141" s="18">
        <f>D140/1000</f>
        <v>9.5531317846503931</v>
      </c>
      <c r="C141" s="16">
        <f t="shared" si="3"/>
        <v>0.44272491306420592</v>
      </c>
      <c r="D141" s="11">
        <f t="shared" si="4"/>
        <v>9552.8883466968327</v>
      </c>
    </row>
    <row r="142" spans="1:4" x14ac:dyDescent="0.25">
      <c r="A142" s="3">
        <v>5</v>
      </c>
      <c r="B142" s="18">
        <f>D141/1000</f>
        <v>9.5528883466968324</v>
      </c>
      <c r="C142" s="16">
        <f t="shared" si="3"/>
        <v>0.44273911384252573</v>
      </c>
      <c r="D142" s="11">
        <f t="shared" si="4"/>
        <v>9552.897517355028</v>
      </c>
    </row>
    <row r="143" spans="1:4" x14ac:dyDescent="0.25">
      <c r="A143" s="3">
        <v>6</v>
      </c>
      <c r="B143" s="18">
        <f>D142/1000</f>
        <v>9.5528975173550279</v>
      </c>
      <c r="C143" s="16">
        <f t="shared" si="3"/>
        <v>0.44273857887876111</v>
      </c>
      <c r="D143" s="11">
        <f t="shared" si="4"/>
        <v>9552.8971718934754</v>
      </c>
    </row>
    <row r="144" spans="1:4" ht="18.75" customHeight="1" x14ac:dyDescent="0.25">
      <c r="A144" s="3">
        <v>7</v>
      </c>
      <c r="B144" s="18">
        <f t="shared" ref="B144:B147" si="5">D143/1000</f>
        <v>9.5528971718934752</v>
      </c>
      <c r="C144" s="16">
        <f t="shared" si="3"/>
        <v>0.44273859903101287</v>
      </c>
      <c r="D144" s="11">
        <f t="shared" si="4"/>
        <v>9552.8971849071349</v>
      </c>
    </row>
    <row r="145" spans="1:5" x14ac:dyDescent="0.25">
      <c r="A145" s="3">
        <v>8</v>
      </c>
      <c r="B145" s="18">
        <f t="shared" si="5"/>
        <v>9.5528971849071347</v>
      </c>
      <c r="C145" s="16">
        <f t="shared" si="3"/>
        <v>0.44273859827187034</v>
      </c>
      <c r="D145" s="11">
        <f t="shared" si="4"/>
        <v>9552.8971844169046</v>
      </c>
    </row>
    <row r="146" spans="1:5" x14ac:dyDescent="0.25">
      <c r="A146" s="3">
        <v>9</v>
      </c>
      <c r="B146" s="18">
        <f t="shared" si="5"/>
        <v>9.5528971844169046</v>
      </c>
      <c r="C146" s="16">
        <f t="shared" si="3"/>
        <v>0.44273859830046758</v>
      </c>
      <c r="D146" s="11">
        <f t="shared" si="4"/>
        <v>9552.8971844353728</v>
      </c>
    </row>
    <row r="147" spans="1:5" x14ac:dyDescent="0.25">
      <c r="A147" s="3">
        <v>10</v>
      </c>
      <c r="B147" s="18">
        <f t="shared" si="5"/>
        <v>9.5528971844353734</v>
      </c>
      <c r="C147" s="16">
        <f t="shared" si="3"/>
        <v>0.44273859829939022</v>
      </c>
      <c r="D147" s="11">
        <f t="shared" si="4"/>
        <v>9552.8971844346761</v>
      </c>
    </row>
    <row r="149" spans="1:5" x14ac:dyDescent="0.25">
      <c r="A149" s="30" t="s">
        <v>152</v>
      </c>
      <c r="B149" s="30"/>
      <c r="C149" s="31"/>
      <c r="D149" s="30">
        <f>D147/1000</f>
        <v>9.5528971844346753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7.4650694569876839</v>
      </c>
      <c r="C152" s="28">
        <f>IF(F123=TRUE,D149,MIN(D149,D123))</f>
        <v>7.4650694569876839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3"/>
  <sheetViews>
    <sheetView zoomScale="85" zoomScaleNormal="85" workbookViewId="0">
      <selection activeCell="C2" sqref="C2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Screen'!F10</f>
        <v>81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Screen'!G10</f>
        <v>352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Screen'!H10</f>
        <v>261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306.5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128980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153550.00000000003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141265.00000000003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145713.31092096132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300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300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300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1.230271902268761E-5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18.784352870210949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3469197.2284374996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69470091.474218756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279240444.61875004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301665571.48968756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35.000769707225928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1.475769707225929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17.30858316298502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1.475769707225929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904110413.86498106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4285820146.1531754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883484934.96757102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4278056777.8850994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3390709966.7811756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13742182239.652002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38.460900000000002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15.069989145893491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6.145831022383252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1.597545556470459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13.21638048094859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1.466445606689641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8.6552767571303608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8.6552767571303608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35.000769707225928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2694.5043066098247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808351.29198294738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1068812.3211777026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0.86965969440558366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752288.96931146667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7217.9054444542817</v>
      </c>
    </row>
    <row r="113" spans="1:6" x14ac:dyDescent="0.25">
      <c r="A113" s="3">
        <v>2</v>
      </c>
      <c r="B113" s="18">
        <f>D112/1000</f>
        <v>7.2179054444542814</v>
      </c>
      <c r="C113" s="16">
        <f>(1-B113/$C$80)</f>
        <v>0.52104109866455151</v>
      </c>
      <c r="D113" s="11">
        <f t="shared" si="1"/>
        <v>6261.9763026258524</v>
      </c>
    </row>
    <row r="114" spans="1:6" x14ac:dyDescent="0.25">
      <c r="A114" s="3">
        <v>3</v>
      </c>
      <c r="B114" s="18">
        <f>D113/1000</f>
        <v>6.2619763026258521</v>
      </c>
      <c r="C114" s="16">
        <f t="shared" si="0"/>
        <v>0.58447373505028599</v>
      </c>
      <c r="D114" s="11">
        <f t="shared" si="1"/>
        <v>6455.7113209352865</v>
      </c>
    </row>
    <row r="115" spans="1:6" x14ac:dyDescent="0.25">
      <c r="A115" s="3">
        <v>4</v>
      </c>
      <c r="B115" s="18">
        <f t="shared" ref="B115:B121" si="2">D114/1000</f>
        <v>6.4557113209352863</v>
      </c>
      <c r="C115" s="16">
        <f t="shared" si="0"/>
        <v>0.57161805105251573</v>
      </c>
      <c r="D115" s="11">
        <f t="shared" si="1"/>
        <v>6419.0241527298431</v>
      </c>
    </row>
    <row r="116" spans="1:6" x14ac:dyDescent="0.25">
      <c r="A116" s="3">
        <v>5</v>
      </c>
      <c r="B116" s="18">
        <f t="shared" si="2"/>
        <v>6.4190241527298433</v>
      </c>
      <c r="C116" s="16">
        <f t="shared" si="0"/>
        <v>0.5740525032508732</v>
      </c>
      <c r="D116" s="11">
        <f t="shared" si="1"/>
        <v>6426.0651578679408</v>
      </c>
    </row>
    <row r="117" spans="1:6" x14ac:dyDescent="0.25">
      <c r="A117" s="3">
        <v>6</v>
      </c>
      <c r="B117" s="18">
        <f t="shared" si="2"/>
        <v>6.4260651578679404</v>
      </c>
      <c r="C117" s="16">
        <f t="shared" si="0"/>
        <v>0.57358528293173872</v>
      </c>
      <c r="D117" s="11">
        <f t="shared" si="1"/>
        <v>6424.7172876457398</v>
      </c>
    </row>
    <row r="118" spans="1:6" x14ac:dyDescent="0.25">
      <c r="A118" s="3">
        <v>7</v>
      </c>
      <c r="B118" s="18">
        <f t="shared" si="2"/>
        <v>6.4247172876457395</v>
      </c>
      <c r="C118" s="16">
        <f t="shared" si="0"/>
        <v>0.57367472362138705</v>
      </c>
      <c r="D118" s="11">
        <f t="shared" si="1"/>
        <v>6424.9754386050681</v>
      </c>
    </row>
    <row r="119" spans="1:6" x14ac:dyDescent="0.25">
      <c r="A119" s="3">
        <v>8</v>
      </c>
      <c r="B119" s="18">
        <f t="shared" si="2"/>
        <v>6.4249754386050677</v>
      </c>
      <c r="C119" s="16">
        <f t="shared" si="0"/>
        <v>0.57365759348566969</v>
      </c>
      <c r="D119" s="11">
        <f t="shared" si="1"/>
        <v>6424.9260008468709</v>
      </c>
    </row>
    <row r="120" spans="1:6" x14ac:dyDescent="0.25">
      <c r="A120" s="3">
        <v>9</v>
      </c>
      <c r="B120" s="18">
        <f t="shared" si="2"/>
        <v>6.4249260008468712</v>
      </c>
      <c r="C120" s="16">
        <f t="shared" si="0"/>
        <v>0.57366087402938604</v>
      </c>
      <c r="D120" s="11">
        <f t="shared" si="1"/>
        <v>6424.9354687014293</v>
      </c>
    </row>
    <row r="121" spans="1:6" x14ac:dyDescent="0.25">
      <c r="A121" s="3">
        <v>10</v>
      </c>
      <c r="B121" s="18">
        <f t="shared" si="2"/>
        <v>6.4249354687014293</v>
      </c>
      <c r="C121" s="16">
        <f t="shared" si="0"/>
        <v>0.57366024577050223</v>
      </c>
      <c r="D121" s="11">
        <f t="shared" si="1"/>
        <v>6424.9336555131786</v>
      </c>
    </row>
    <row r="123" spans="1:6" x14ac:dyDescent="0.25">
      <c r="A123" s="30" t="s">
        <v>153</v>
      </c>
      <c r="B123" s="30"/>
      <c r="C123" s="31"/>
      <c r="D123" s="30">
        <f>D121/1000</f>
        <v>6.4249336555131782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808351.29198294738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1068812.3211777026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0.86965969440558366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752288.96931146667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8510.7714541011756</v>
      </c>
    </row>
    <row r="139" spans="1:4" x14ac:dyDescent="0.25">
      <c r="A139" s="3">
        <v>2</v>
      </c>
      <c r="B139" s="18">
        <f>D138/1000</f>
        <v>8.5107714541011763</v>
      </c>
      <c r="C139" s="16">
        <f t="shared" si="3"/>
        <v>0.43525032621404869</v>
      </c>
      <c r="D139" s="11">
        <f t="shared" si="4"/>
        <v>8330.3114559885489</v>
      </c>
    </row>
    <row r="140" spans="1:4" x14ac:dyDescent="0.25">
      <c r="A140" s="3">
        <v>3</v>
      </c>
      <c r="B140" s="18">
        <f>D139/1000</f>
        <v>8.3303114559885483</v>
      </c>
      <c r="C140" s="16">
        <f t="shared" si="3"/>
        <v>0.44722511905335227</v>
      </c>
      <c r="D140" s="11">
        <f t="shared" si="4"/>
        <v>8338.6943873341352</v>
      </c>
    </row>
    <row r="141" spans="1:4" x14ac:dyDescent="0.25">
      <c r="A141" s="3">
        <v>4</v>
      </c>
      <c r="B141" s="18">
        <f>D140/1000</f>
        <v>8.3386943873341348</v>
      </c>
      <c r="C141" s="16">
        <f t="shared" si="3"/>
        <v>0.44666885247184174</v>
      </c>
      <c r="D141" s="11">
        <f t="shared" si="4"/>
        <v>8338.3145642618165</v>
      </c>
    </row>
    <row r="142" spans="1:4" x14ac:dyDescent="0.25">
      <c r="A142" s="3">
        <v>5</v>
      </c>
      <c r="B142" s="18">
        <f>D141/1000</f>
        <v>8.3383145642618164</v>
      </c>
      <c r="C142" s="16">
        <f t="shared" si="3"/>
        <v>0.4466940564098566</v>
      </c>
      <c r="D142" s="11">
        <f t="shared" si="4"/>
        <v>8338.3317934139104</v>
      </c>
    </row>
    <row r="143" spans="1:4" x14ac:dyDescent="0.25">
      <c r="A143" s="3">
        <v>6</v>
      </c>
      <c r="B143" s="18">
        <f>D142/1000</f>
        <v>8.3383317934139107</v>
      </c>
      <c r="C143" s="16">
        <f t="shared" si="3"/>
        <v>0.44669291313417625</v>
      </c>
      <c r="D143" s="11">
        <f t="shared" si="4"/>
        <v>8338.3310119230009</v>
      </c>
    </row>
    <row r="144" spans="1:4" ht="18.75" customHeight="1" x14ac:dyDescent="0.25">
      <c r="A144" s="3">
        <v>7</v>
      </c>
      <c r="B144" s="18">
        <f t="shared" ref="B144:B147" si="5">D143/1000</f>
        <v>8.3383310119230014</v>
      </c>
      <c r="C144" s="16">
        <f t="shared" si="3"/>
        <v>0.44669296499160638</v>
      </c>
      <c r="D144" s="11">
        <f t="shared" si="4"/>
        <v>8338.3310473704496</v>
      </c>
    </row>
    <row r="145" spans="1:5" x14ac:dyDescent="0.25">
      <c r="A145" s="3">
        <v>8</v>
      </c>
      <c r="B145" s="18">
        <f t="shared" si="5"/>
        <v>8.3383310473704491</v>
      </c>
      <c r="C145" s="16">
        <f t="shared" si="3"/>
        <v>0.44669296263941838</v>
      </c>
      <c r="D145" s="11">
        <f t="shared" si="4"/>
        <v>8338.3310457625976</v>
      </c>
    </row>
    <row r="146" spans="1:5" x14ac:dyDescent="0.25">
      <c r="A146" s="3">
        <v>9</v>
      </c>
      <c r="B146" s="18">
        <f t="shared" si="5"/>
        <v>8.3383310457625974</v>
      </c>
      <c r="C146" s="16">
        <f t="shared" si="3"/>
        <v>0.4466929627461107</v>
      </c>
      <c r="D146" s="11">
        <f t="shared" si="4"/>
        <v>8338.3310458355263</v>
      </c>
    </row>
    <row r="147" spans="1:5" x14ac:dyDescent="0.25">
      <c r="A147" s="3">
        <v>10</v>
      </c>
      <c r="B147" s="18">
        <f t="shared" si="5"/>
        <v>8.3383310458355258</v>
      </c>
      <c r="C147" s="16">
        <f t="shared" si="3"/>
        <v>0.44669296274127135</v>
      </c>
      <c r="D147" s="11">
        <f t="shared" si="4"/>
        <v>8338.3310458322194</v>
      </c>
    </row>
    <row r="149" spans="1:5" x14ac:dyDescent="0.25">
      <c r="A149" s="30" t="s">
        <v>152</v>
      </c>
      <c r="B149" s="30"/>
      <c r="C149" s="31"/>
      <c r="D149" s="30">
        <f>D147/1000</f>
        <v>8.33833104583222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6.4249336555131782</v>
      </c>
      <c r="C152" s="28">
        <f>IF(F123=TRUE,D149,MIN(D149,D123))</f>
        <v>6.4249336555131782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Screen'!F11</f>
        <v>90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Screen'!G11</f>
        <v>429.44787600000001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Screen'!H11</f>
        <v>300.14373799999998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364.79580699999997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108069.07348000001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142981.19074000002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125525.13211000002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129477.80839938538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238.17156254041711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294.46928422129452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290.17081811189422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1.2678478651276422E-5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27.50637169722652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2906752.4437635643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64688481.926411711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260020392.53895086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268053733.86388472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35.884899505301689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2.3598995053016907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25.146472191924829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2.3598995053016907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800809218.26721752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3774678595.4702702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772348344.30796933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3766858602.9603424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3040029183.8058386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12154723944.811638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37.200769394399174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13.329146326637684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5.4610572400126989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1.6706089096707684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11.689661328461249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1.4630615608438573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7.6678444891759163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7.6678444891759163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35.884899505301689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2616.0017226242571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770332.15478283842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949724.33240099717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0.90061718714524075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701000.63777826983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6013.6992045508387</v>
      </c>
    </row>
    <row r="113" spans="1:6" x14ac:dyDescent="0.25">
      <c r="A113" s="3">
        <v>2</v>
      </c>
      <c r="B113" s="18">
        <f>D112/1000</f>
        <v>6.0136992045508384</v>
      </c>
      <c r="C113" s="16">
        <f>(1-B113/$C$80)</f>
        <v>0.54883088104954347</v>
      </c>
      <c r="D113" s="11">
        <f t="shared" si="1"/>
        <v>5107.8793928788509</v>
      </c>
    </row>
    <row r="114" spans="1:6" x14ac:dyDescent="0.25">
      <c r="A114" s="3">
        <v>3</v>
      </c>
      <c r="B114" s="18">
        <f>D113/1000</f>
        <v>5.1078793928788508</v>
      </c>
      <c r="C114" s="16">
        <f t="shared" si="0"/>
        <v>0.61678870741549363</v>
      </c>
      <c r="D114" s="11">
        <f t="shared" si="1"/>
        <v>5302.9451083512422</v>
      </c>
    </row>
    <row r="115" spans="1:6" x14ac:dyDescent="0.25">
      <c r="A115" s="3">
        <v>4</v>
      </c>
      <c r="B115" s="18">
        <f t="shared" ref="B115:B121" si="2">D114/1000</f>
        <v>5.302945108351242</v>
      </c>
      <c r="C115" s="16">
        <f t="shared" si="0"/>
        <v>0.60215418314123004</v>
      </c>
      <c r="D115" s="11">
        <f t="shared" si="1"/>
        <v>5263.4917281621802</v>
      </c>
    </row>
    <row r="116" spans="1:6" x14ac:dyDescent="0.25">
      <c r="A116" s="3">
        <v>5</v>
      </c>
      <c r="B116" s="18">
        <f t="shared" si="2"/>
        <v>5.2634917281621805</v>
      </c>
      <c r="C116" s="16">
        <f t="shared" si="0"/>
        <v>0.6051141161498591</v>
      </c>
      <c r="D116" s="11">
        <f t="shared" si="1"/>
        <v>5271.5772874513141</v>
      </c>
    </row>
    <row r="117" spans="1:6" x14ac:dyDescent="0.25">
      <c r="A117" s="3">
        <v>6</v>
      </c>
      <c r="B117" s="18">
        <f t="shared" si="2"/>
        <v>5.271577287451314</v>
      </c>
      <c r="C117" s="16">
        <f t="shared" si="0"/>
        <v>0.6045075087129691</v>
      </c>
      <c r="D117" s="11">
        <f t="shared" si="1"/>
        <v>5269.9246698076013</v>
      </c>
    </row>
    <row r="118" spans="1:6" x14ac:dyDescent="0.25">
      <c r="A118" s="3">
        <v>7</v>
      </c>
      <c r="B118" s="18">
        <f t="shared" si="2"/>
        <v>5.269924669807601</v>
      </c>
      <c r="C118" s="16">
        <f t="shared" si="0"/>
        <v>0.60463149397078042</v>
      </c>
      <c r="D118" s="11">
        <f t="shared" si="1"/>
        <v>5270.2626357234576</v>
      </c>
    </row>
    <row r="119" spans="1:6" x14ac:dyDescent="0.25">
      <c r="A119" s="3">
        <v>8</v>
      </c>
      <c r="B119" s="18">
        <f t="shared" si="2"/>
        <v>5.2702626357234577</v>
      </c>
      <c r="C119" s="16">
        <f t="shared" si="0"/>
        <v>0.60460613856484713</v>
      </c>
      <c r="D119" s="11">
        <f t="shared" si="1"/>
        <v>5270.1935282961686</v>
      </c>
    </row>
    <row r="120" spans="1:6" x14ac:dyDescent="0.25">
      <c r="A120" s="3">
        <v>9</v>
      </c>
      <c r="B120" s="18">
        <f t="shared" si="2"/>
        <v>5.2701935282961685</v>
      </c>
      <c r="C120" s="16">
        <f t="shared" si="0"/>
        <v>0.60461132325001721</v>
      </c>
      <c r="D120" s="11">
        <f t="shared" si="1"/>
        <v>5270.2076597389896</v>
      </c>
    </row>
    <row r="121" spans="1:6" x14ac:dyDescent="0.25">
      <c r="A121" s="3">
        <v>10</v>
      </c>
      <c r="B121" s="18">
        <f t="shared" si="2"/>
        <v>5.2702076597389897</v>
      </c>
      <c r="C121" s="16">
        <f t="shared" si="0"/>
        <v>0.60461026305887855</v>
      </c>
      <c r="D121" s="11">
        <f t="shared" si="1"/>
        <v>5270.2047700822959</v>
      </c>
    </row>
    <row r="123" spans="1:6" x14ac:dyDescent="0.25">
      <c r="A123" s="30" t="s">
        <v>153</v>
      </c>
      <c r="B123" s="30"/>
      <c r="C123" s="31"/>
      <c r="D123" s="30">
        <f>D121/1000</f>
        <v>5.2702047700822963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623057.2178858422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949724.33240099717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0.80996300557293033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606548.63194407115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7445.7143201113577</v>
      </c>
    </row>
    <row r="139" spans="1:4" x14ac:dyDescent="0.25">
      <c r="A139" s="3">
        <v>2</v>
      </c>
      <c r="B139" s="18">
        <f>D138/1000</f>
        <v>7.4457143201113576</v>
      </c>
      <c r="C139" s="16">
        <f t="shared" si="3"/>
        <v>0.44139601009320151</v>
      </c>
      <c r="D139" s="11">
        <f t="shared" si="4"/>
        <v>7182.3970811770223</v>
      </c>
    </row>
    <row r="140" spans="1:4" x14ac:dyDescent="0.25">
      <c r="A140" s="3">
        <v>3</v>
      </c>
      <c r="B140" s="18">
        <f>D139/1000</f>
        <v>7.1823970811770224</v>
      </c>
      <c r="C140" s="16">
        <f t="shared" si="3"/>
        <v>0.46115100658597064</v>
      </c>
      <c r="D140" s="11">
        <f t="shared" si="4"/>
        <v>7201.9292981360968</v>
      </c>
    </row>
    <row r="141" spans="1:4" x14ac:dyDescent="0.25">
      <c r="A141" s="3">
        <v>4</v>
      </c>
      <c r="B141" s="18">
        <f>D140/1000</f>
        <v>7.2019292981360969</v>
      </c>
      <c r="C141" s="16">
        <f t="shared" si="3"/>
        <v>0.45968563014846842</v>
      </c>
      <c r="D141" s="11">
        <f t="shared" si="4"/>
        <v>7200.5345795419689</v>
      </c>
    </row>
    <row r="142" spans="1:4" x14ac:dyDescent="0.25">
      <c r="A142" s="3">
        <v>5</v>
      </c>
      <c r="B142" s="18">
        <f>D141/1000</f>
        <v>7.2005345795419693</v>
      </c>
      <c r="C142" s="16">
        <f t="shared" si="3"/>
        <v>0.45979026690163693</v>
      </c>
      <c r="D142" s="11">
        <f t="shared" si="4"/>
        <v>7200.6344476769546</v>
      </c>
    </row>
    <row r="143" spans="1:4" x14ac:dyDescent="0.25">
      <c r="A143" s="3">
        <v>6</v>
      </c>
      <c r="B143" s="18">
        <f>D142/1000</f>
        <v>7.2006344476769542</v>
      </c>
      <c r="C143" s="16">
        <f t="shared" si="3"/>
        <v>0.45978277443868865</v>
      </c>
      <c r="D143" s="11">
        <f t="shared" si="4"/>
        <v>7200.6272980873782</v>
      </c>
    </row>
    <row r="144" spans="1:4" ht="18.75" customHeight="1" x14ac:dyDescent="0.25">
      <c r="A144" s="3">
        <v>7</v>
      </c>
      <c r="B144" s="18">
        <f t="shared" ref="B144:B147" si="5">D143/1000</f>
        <v>7.2006272980873778</v>
      </c>
      <c r="C144" s="16">
        <f t="shared" si="3"/>
        <v>0.45978331082634627</v>
      </c>
      <c r="D144" s="11">
        <f t="shared" si="4"/>
        <v>7200.6278099359015</v>
      </c>
    </row>
    <row r="145" spans="1:5" x14ac:dyDescent="0.25">
      <c r="A145" s="3">
        <v>8</v>
      </c>
      <c r="B145" s="18">
        <f t="shared" si="5"/>
        <v>7.2006278099359013</v>
      </c>
      <c r="C145" s="16">
        <f t="shared" si="3"/>
        <v>0.4597832724256482</v>
      </c>
      <c r="D145" s="11">
        <f t="shared" si="4"/>
        <v>7200.627773292028</v>
      </c>
    </row>
    <row r="146" spans="1:5" x14ac:dyDescent="0.25">
      <c r="A146" s="3">
        <v>9</v>
      </c>
      <c r="B146" s="18">
        <f t="shared" si="5"/>
        <v>7.2006277732920276</v>
      </c>
      <c r="C146" s="16">
        <f t="shared" si="3"/>
        <v>0.459783275174802</v>
      </c>
      <c r="D146" s="11">
        <f t="shared" si="4"/>
        <v>7200.6277759154091</v>
      </c>
    </row>
    <row r="147" spans="1:5" x14ac:dyDescent="0.25">
      <c r="A147" s="3">
        <v>10</v>
      </c>
      <c r="B147" s="18">
        <f t="shared" si="5"/>
        <v>7.2006277759154091</v>
      </c>
      <c r="C147" s="16">
        <f t="shared" si="3"/>
        <v>0.45978327497798666</v>
      </c>
      <c r="D147" s="11">
        <f t="shared" si="4"/>
        <v>7200.6277757275984</v>
      </c>
    </row>
    <row r="149" spans="1:5" x14ac:dyDescent="0.25">
      <c r="A149" s="30" t="s">
        <v>152</v>
      </c>
      <c r="B149" s="30"/>
      <c r="C149" s="31"/>
      <c r="D149" s="30">
        <f>D147/1000</f>
        <v>7.2006277757275985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5.2702047700822963</v>
      </c>
      <c r="C152" s="28">
        <f>IF(F123=TRUE,D149,MIN(D149,D123))</f>
        <v>5.2702047700822963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3"/>
  <sheetViews>
    <sheetView zoomScale="85" zoomScaleNormal="85" workbookViewId="0">
      <selection activeCell="C15" sqref="C15"/>
    </sheetView>
  </sheetViews>
  <sheetFormatPr defaultRowHeight="15.75" x14ac:dyDescent="0.25"/>
  <cols>
    <col min="1" max="1" width="62.140625" style="3" customWidth="1"/>
    <col min="2" max="2" width="14.7109375" style="2" customWidth="1"/>
    <col min="3" max="3" width="18.85546875" style="3" customWidth="1"/>
    <col min="4" max="4" width="11.140625" style="3" customWidth="1"/>
    <col min="5" max="5" width="9.140625" style="3"/>
    <col min="6" max="6" width="9.140625" style="3" customWidth="1"/>
    <col min="7" max="7" width="24.42578125" style="3" customWidth="1"/>
    <col min="8" max="16384" width="9.140625" style="3"/>
  </cols>
  <sheetData>
    <row r="1" spans="1:8" x14ac:dyDescent="0.25">
      <c r="A1" s="1" t="s">
        <v>47</v>
      </c>
    </row>
    <row r="2" spans="1:8" ht="18.75" x14ac:dyDescent="0.3">
      <c r="A2" s="2" t="s">
        <v>0</v>
      </c>
      <c r="B2" s="42" t="s">
        <v>172</v>
      </c>
      <c r="C2" s="43">
        <f>'Input-Output Screen'!F12</f>
        <v>110</v>
      </c>
      <c r="D2" s="42" t="s">
        <v>176</v>
      </c>
    </row>
    <row r="4" spans="1:8" ht="15.75" customHeight="1" x14ac:dyDescent="0.25">
      <c r="A4" s="21" t="s">
        <v>24</v>
      </c>
      <c r="B4" s="4"/>
      <c r="C4" s="5"/>
      <c r="D4" s="5"/>
      <c r="F4" s="44"/>
      <c r="G4" s="44"/>
      <c r="H4" s="44"/>
    </row>
    <row r="5" spans="1:8" ht="15.75" customHeight="1" x14ac:dyDescent="0.25">
      <c r="A5" s="5" t="s">
        <v>167</v>
      </c>
      <c r="B5" s="4" t="s">
        <v>1</v>
      </c>
      <c r="C5" s="6">
        <f>'Input-Output Screen'!C5</f>
        <v>67.05</v>
      </c>
      <c r="D5" s="5" t="s">
        <v>2</v>
      </c>
      <c r="F5" s="44"/>
      <c r="G5" s="44"/>
      <c r="H5" s="44"/>
    </row>
    <row r="6" spans="1:8" ht="15.75" customHeight="1" x14ac:dyDescent="0.25">
      <c r="A6" s="5" t="s">
        <v>168</v>
      </c>
      <c r="B6" s="4" t="s">
        <v>3</v>
      </c>
      <c r="C6" s="6">
        <f>'Input-Output Screen'!C6</f>
        <v>28.55</v>
      </c>
      <c r="D6" s="5" t="s">
        <v>2</v>
      </c>
      <c r="F6" s="44"/>
      <c r="G6" s="44"/>
      <c r="H6" s="44"/>
    </row>
    <row r="7" spans="1:8" ht="15.75" customHeight="1" x14ac:dyDescent="0.25">
      <c r="A7" s="5" t="s">
        <v>169</v>
      </c>
      <c r="B7" s="4" t="s">
        <v>4</v>
      </c>
      <c r="C7" s="6">
        <v>7.5250000000000004</v>
      </c>
      <c r="D7" s="5" t="s">
        <v>2</v>
      </c>
      <c r="F7" s="44"/>
      <c r="G7" s="44"/>
      <c r="H7" s="44"/>
    </row>
    <row r="8" spans="1:8" ht="15.75" customHeight="1" x14ac:dyDescent="0.25">
      <c r="A8" s="5" t="s">
        <v>27</v>
      </c>
      <c r="B8" s="4" t="s">
        <v>5</v>
      </c>
      <c r="C8" s="6">
        <f>'Input-Output Screen'!C8</f>
        <v>0.95</v>
      </c>
      <c r="D8" s="5" t="s">
        <v>2</v>
      </c>
      <c r="F8" s="44"/>
      <c r="G8" s="44"/>
      <c r="H8" s="44"/>
    </row>
    <row r="9" spans="1:8" ht="17.25" customHeight="1" x14ac:dyDescent="0.3">
      <c r="A9" s="5" t="s">
        <v>28</v>
      </c>
      <c r="B9" s="4" t="s">
        <v>109</v>
      </c>
      <c r="C9" s="6">
        <f>'Input-Output Screen'!C9</f>
        <v>3000</v>
      </c>
      <c r="D9" s="5" t="s">
        <v>2</v>
      </c>
      <c r="F9" s="44"/>
      <c r="G9" s="44"/>
      <c r="H9" s="44"/>
    </row>
    <row r="10" spans="1:8" ht="17.25" customHeight="1" x14ac:dyDescent="0.3">
      <c r="A10" s="5" t="s">
        <v>107</v>
      </c>
      <c r="B10" s="4" t="s">
        <v>108</v>
      </c>
      <c r="C10" s="6">
        <f>'Input-Output Screen'!C10</f>
        <v>1000</v>
      </c>
      <c r="D10" s="5" t="s">
        <v>2</v>
      </c>
      <c r="F10" s="44"/>
      <c r="G10" s="44"/>
      <c r="H10" s="44"/>
    </row>
    <row r="11" spans="1:8" ht="19.5" x14ac:dyDescent="0.3">
      <c r="A11" s="5" t="s">
        <v>29</v>
      </c>
      <c r="B11" s="4" t="s">
        <v>48</v>
      </c>
      <c r="C11" s="6">
        <f>'Input-Output Screen'!C11</f>
        <v>128.203</v>
      </c>
      <c r="D11" s="5" t="s">
        <v>49</v>
      </c>
    </row>
    <row r="12" spans="1:8" ht="19.5" x14ac:dyDescent="0.3">
      <c r="A12" s="5" t="s">
        <v>30</v>
      </c>
      <c r="B12" s="4" t="s">
        <v>50</v>
      </c>
      <c r="C12" s="22">
        <f>'Input-Output Screen'!C12</f>
        <v>167587</v>
      </c>
      <c r="D12" s="5" t="s">
        <v>51</v>
      </c>
    </row>
    <row r="13" spans="1:8" ht="19.5" x14ac:dyDescent="0.3">
      <c r="A13" s="5" t="s">
        <v>31</v>
      </c>
      <c r="B13" s="4" t="s">
        <v>54</v>
      </c>
      <c r="C13" s="22">
        <f>'Input-Output Screen'!G12</f>
        <v>447.84811400000001</v>
      </c>
      <c r="D13" s="5" t="s">
        <v>55</v>
      </c>
    </row>
    <row r="14" spans="1:8" ht="19.5" x14ac:dyDescent="0.3">
      <c r="A14" s="5" t="s">
        <v>32</v>
      </c>
      <c r="B14" s="4" t="s">
        <v>56</v>
      </c>
      <c r="C14" s="22">
        <f>'Input-Output Screen'!H12</f>
        <v>340.54977400000001</v>
      </c>
      <c r="D14" s="5" t="s">
        <v>55</v>
      </c>
    </row>
    <row r="15" spans="1:8" x14ac:dyDescent="0.25">
      <c r="A15" s="5"/>
      <c r="B15" s="4"/>
      <c r="C15" s="5"/>
      <c r="D15" s="5"/>
    </row>
    <row r="16" spans="1:8" ht="18.75" x14ac:dyDescent="0.25">
      <c r="A16" s="21" t="s">
        <v>137</v>
      </c>
      <c r="B16" s="4"/>
      <c r="C16" s="5"/>
      <c r="D16" s="5"/>
    </row>
    <row r="17" spans="1:4" ht="17.25" x14ac:dyDescent="0.3">
      <c r="A17" s="5" t="s">
        <v>33</v>
      </c>
      <c r="B17" s="4" t="s">
        <v>58</v>
      </c>
      <c r="C17" s="22">
        <f>'Input-Output Screen'!C16</f>
        <v>200000</v>
      </c>
      <c r="D17" s="5" t="s">
        <v>6</v>
      </c>
    </row>
    <row r="18" spans="1:4" ht="17.25" x14ac:dyDescent="0.3">
      <c r="A18" s="5" t="s">
        <v>34</v>
      </c>
      <c r="B18" s="4" t="s">
        <v>59</v>
      </c>
      <c r="C18" s="6">
        <f>'Input-Output Screen'!C17</f>
        <v>550</v>
      </c>
      <c r="D18" s="5" t="s">
        <v>6</v>
      </c>
    </row>
    <row r="19" spans="1:4" x14ac:dyDescent="0.25">
      <c r="A19" s="5"/>
      <c r="B19" s="4"/>
      <c r="C19" s="5"/>
      <c r="D19" s="5"/>
    </row>
    <row r="20" spans="1:4" x14ac:dyDescent="0.25">
      <c r="A20" s="21" t="s">
        <v>166</v>
      </c>
      <c r="B20" s="4"/>
      <c r="C20" s="5"/>
      <c r="D20" s="5"/>
    </row>
    <row r="21" spans="1:4" x14ac:dyDescent="0.25">
      <c r="A21" s="4" t="s">
        <v>25</v>
      </c>
      <c r="B21" s="4"/>
      <c r="C21" s="5"/>
      <c r="D21" s="5"/>
    </row>
    <row r="22" spans="1:4" x14ac:dyDescent="0.25">
      <c r="A22" s="5" t="s">
        <v>26</v>
      </c>
      <c r="B22" s="4"/>
      <c r="C22" s="24">
        <f>'Input-Output Screen'!C21</f>
        <v>0.1234</v>
      </c>
      <c r="D22" s="5"/>
    </row>
    <row r="23" spans="1:4" x14ac:dyDescent="0.25">
      <c r="A23" s="5"/>
      <c r="B23" s="4"/>
      <c r="C23" s="5"/>
      <c r="D23" s="5"/>
    </row>
    <row r="24" spans="1:4" x14ac:dyDescent="0.25">
      <c r="A24" s="4" t="s">
        <v>35</v>
      </c>
      <c r="B24" s="4"/>
      <c r="C24" s="5"/>
      <c r="D24" s="5"/>
    </row>
    <row r="25" spans="1:4" x14ac:dyDescent="0.25">
      <c r="A25" s="5" t="s">
        <v>103</v>
      </c>
      <c r="B25" s="4"/>
      <c r="C25" s="24">
        <f>'Input-Output Screen'!C25</f>
        <v>0.55037999999999998</v>
      </c>
      <c r="D25" s="5"/>
    </row>
    <row r="26" spans="1:4" x14ac:dyDescent="0.25">
      <c r="A26" s="5"/>
      <c r="B26" s="4"/>
      <c r="C26" s="4"/>
      <c r="D26" s="5"/>
    </row>
    <row r="28" spans="1:4" x14ac:dyDescent="0.25">
      <c r="A28" s="1" t="s">
        <v>148</v>
      </c>
    </row>
    <row r="29" spans="1:4" ht="19.5" x14ac:dyDescent="0.3">
      <c r="A29" s="3" t="s">
        <v>146</v>
      </c>
      <c r="B29" s="2" t="s">
        <v>52</v>
      </c>
      <c r="C29" s="9">
        <f>C12/(C5/2)</f>
        <v>4998.8665175242359</v>
      </c>
      <c r="D29" s="3" t="s">
        <v>53</v>
      </c>
    </row>
    <row r="30" spans="1:4" ht="19.5" x14ac:dyDescent="0.3">
      <c r="A30" s="3" t="s">
        <v>147</v>
      </c>
      <c r="B30" s="2" t="s">
        <v>57</v>
      </c>
      <c r="C30" s="3">
        <f>(C13+C14)/2</f>
        <v>394.19894399999998</v>
      </c>
      <c r="D30" s="3" t="s">
        <v>55</v>
      </c>
    </row>
    <row r="32" spans="1:4" ht="18.75" x14ac:dyDescent="0.25">
      <c r="A32" s="1" t="s">
        <v>149</v>
      </c>
    </row>
    <row r="33" spans="1:4" ht="17.25" x14ac:dyDescent="0.3">
      <c r="A33" s="3" t="s">
        <v>22</v>
      </c>
      <c r="B33" s="2" t="s">
        <v>60</v>
      </c>
      <c r="C33" s="8">
        <f>C11*C18/1000</f>
        <v>70.511650000000003</v>
      </c>
      <c r="D33" s="3" t="s">
        <v>8</v>
      </c>
    </row>
    <row r="34" spans="1:4" ht="17.25" x14ac:dyDescent="0.3">
      <c r="A34" s="3" t="s">
        <v>9</v>
      </c>
      <c r="B34" s="2" t="s">
        <v>61</v>
      </c>
      <c r="C34" s="8">
        <f>C22*C33</f>
        <v>8.70113761</v>
      </c>
      <c r="D34" s="3" t="s">
        <v>8</v>
      </c>
    </row>
    <row r="35" spans="1:4" ht="17.25" x14ac:dyDescent="0.3">
      <c r="A35" s="3" t="s">
        <v>23</v>
      </c>
      <c r="B35" s="2" t="s">
        <v>62</v>
      </c>
      <c r="C35" s="9">
        <f>C25*C29*C18</f>
        <v>1513201.8846532437</v>
      </c>
      <c r="D35" s="3" t="s">
        <v>38</v>
      </c>
    </row>
    <row r="38" spans="1:4" x14ac:dyDescent="0.25">
      <c r="A38" s="1" t="s">
        <v>154</v>
      </c>
    </row>
    <row r="39" spans="1:4" ht="17.25" x14ac:dyDescent="0.3">
      <c r="A39" s="62" t="s">
        <v>144</v>
      </c>
      <c r="B39" s="2" t="s">
        <v>63</v>
      </c>
      <c r="C39" s="9">
        <f>IF(IF(C13&lt;=200,C17*(1.0167-0.000835*C13),C17*(1.1201-0.00135*C13))&gt;200000,200000,IF(C13&lt;=200,C17*(1.0167-0.000835*C13),C17*(1.1201-0.00135*C13)))</f>
        <v>103101.00922000001</v>
      </c>
      <c r="D39" s="3" t="s">
        <v>6</v>
      </c>
    </row>
    <row r="40" spans="1:4" ht="17.25" x14ac:dyDescent="0.3">
      <c r="A40" s="62"/>
      <c r="B40" s="2" t="s">
        <v>64</v>
      </c>
      <c r="C40" s="9">
        <f>IF(IF(C14&lt;=200,C17*(1.0167-0.000835*C14),C17*(1.1201-0.00135*C14))&gt;200000,200000,IF(C14&lt;=200,C17*(1.0167-0.000835*C14),C17*(1.1201-0.00135*C14)))</f>
        <v>132071.56102000002</v>
      </c>
      <c r="D40" s="3" t="s">
        <v>6</v>
      </c>
    </row>
    <row r="41" spans="1:4" ht="17.25" x14ac:dyDescent="0.3">
      <c r="A41" s="62"/>
      <c r="B41" s="2" t="s">
        <v>65</v>
      </c>
      <c r="C41" s="9">
        <f>IF(IF(C30&lt;=200,C17*(1.0167-0.000835*C30),C17*(1.1201-0.00135*C30))&gt;200000,200000,IF(C30&lt;=200,C17*(1.0167-0.000835*C30),C17*(1.1201-0.00135*C30)))</f>
        <v>117586.28512000003</v>
      </c>
      <c r="D41" s="3" t="s">
        <v>6</v>
      </c>
    </row>
    <row r="42" spans="1:4" ht="17.25" x14ac:dyDescent="0.3">
      <c r="A42" s="62"/>
      <c r="B42" s="2" t="s">
        <v>66</v>
      </c>
      <c r="C42" s="9">
        <f>IF(((C39*(C6+C7)*C8+C40*(C6+C7)*C8+C41*C5*C8)/C11)&gt;200000,200000,(C39*(C6+C7)*C8+C40*(C6+C7)*C8+C41*C5*C8)/C11)</f>
        <v>121288.97408226642</v>
      </c>
      <c r="D42" s="3" t="s">
        <v>6</v>
      </c>
    </row>
    <row r="44" spans="1:4" ht="17.25" x14ac:dyDescent="0.3">
      <c r="A44" s="62" t="s">
        <v>145</v>
      </c>
      <c r="B44" s="2" t="s">
        <v>67</v>
      </c>
      <c r="C44" s="10">
        <f>IF(IF(C13&lt;=200,C18*(1.01-0.0005*C13),C18*25*(1.16-C13^0.022))&gt;300,300,IF(C13&lt;=200,C18*(1.01-0.0005*C13),C18*25*(1.16-C13^0.022)))</f>
        <v>223.66311867091372</v>
      </c>
      <c r="D44" s="3" t="s">
        <v>6</v>
      </c>
    </row>
    <row r="45" spans="1:4" ht="17.25" x14ac:dyDescent="0.3">
      <c r="A45" s="62"/>
      <c r="B45" s="2" t="s">
        <v>68</v>
      </c>
      <c r="C45" s="10">
        <f>IF(IF(C14&lt;=200,C18*(1.01-0.0005*C14),C18*25*(1.16-C14^0.022))&gt;300,300,IF(C14&lt;=200,C18*(1.01-0.0005*C14),C18*25*(1.16-C14^0.022)))</f>
        <v>300</v>
      </c>
      <c r="D45" s="3" t="s">
        <v>6</v>
      </c>
    </row>
    <row r="46" spans="1:4" ht="17.25" x14ac:dyDescent="0.3">
      <c r="A46" s="62"/>
      <c r="B46" s="2" t="s">
        <v>69</v>
      </c>
      <c r="C46" s="10">
        <f>IF(IF(C30&lt;=200,C18*(1.01-0.0005*C30),C18*25*(1.16-C30^0.022))&gt;300,300,IF(C30&lt;=200,C18*(1.01-0.0005*C30),C18*25*(1.16-C30^0.022)))</f>
        <v>267.74764239391402</v>
      </c>
      <c r="D46" s="3" t="s">
        <v>6</v>
      </c>
    </row>
    <row r="47" spans="1:4" ht="17.25" x14ac:dyDescent="0.3">
      <c r="A47" s="62"/>
      <c r="B47" s="2" t="s">
        <v>70</v>
      </c>
      <c r="C47" s="7">
        <f>IF((C44*(C6+C7)*C8+C45*(C6+C7)*C8+C46*C5*C8)/C11&gt;300,300,(C44*(C6+C7)*C8+C45*(C6+C7)*C8+C46*C5*C8)/C11)</f>
        <v>273.01580389801239</v>
      </c>
      <c r="D47" s="3" t="s">
        <v>6</v>
      </c>
    </row>
    <row r="48" spans="1:4" x14ac:dyDescent="0.25">
      <c r="A48" s="2"/>
      <c r="C48" s="10"/>
    </row>
    <row r="49" spans="1:4" x14ac:dyDescent="0.25">
      <c r="A49" s="1" t="s">
        <v>155</v>
      </c>
      <c r="C49" s="10"/>
    </row>
    <row r="50" spans="1:4" x14ac:dyDescent="0.25">
      <c r="A50" s="2" t="s">
        <v>156</v>
      </c>
      <c r="C50" s="10"/>
    </row>
    <row r="51" spans="1:4" ht="19.5" x14ac:dyDescent="0.3">
      <c r="A51" s="3" t="s">
        <v>36</v>
      </c>
      <c r="B51" s="2" t="s">
        <v>71</v>
      </c>
      <c r="C51" s="12">
        <f>1.2*10^(-5)+0.4*10^(-8)*(C30-20)-2.416*10^(-4)/(C30-20)</f>
        <v>1.2851149913354274E-5</v>
      </c>
      <c r="D51" s="3" t="s">
        <v>72</v>
      </c>
    </row>
    <row r="52" spans="1:4" ht="17.25" x14ac:dyDescent="0.3">
      <c r="A52" s="3" t="s">
        <v>37</v>
      </c>
      <c r="B52" s="2" t="s">
        <v>73</v>
      </c>
      <c r="C52" s="7">
        <f>C51*C9^2*(C13-C14)/(8*C5)</f>
        <v>23.136024375739222</v>
      </c>
      <c r="D52" s="3" t="s">
        <v>2</v>
      </c>
    </row>
    <row r="53" spans="1:4" x14ac:dyDescent="0.25">
      <c r="C53" s="7"/>
    </row>
    <row r="54" spans="1:4" x14ac:dyDescent="0.25">
      <c r="A54" s="2" t="s">
        <v>157</v>
      </c>
      <c r="C54" s="10"/>
    </row>
    <row r="55" spans="1:4" ht="17.25" x14ac:dyDescent="0.3">
      <c r="A55" s="3" t="s">
        <v>13</v>
      </c>
      <c r="B55" s="2" t="s">
        <v>74</v>
      </c>
      <c r="C55" s="51">
        <f>C39*C7*C8*(C7/2)</f>
        <v>2773125.5654763002</v>
      </c>
      <c r="D55" s="3" t="s">
        <v>38</v>
      </c>
    </row>
    <row r="56" spans="1:4" ht="17.25" x14ac:dyDescent="0.3">
      <c r="A56" s="3" t="s">
        <v>12</v>
      </c>
      <c r="B56" s="2" t="s">
        <v>74</v>
      </c>
      <c r="C56" s="51">
        <f>0</f>
        <v>0</v>
      </c>
      <c r="D56" s="3" t="s">
        <v>38</v>
      </c>
    </row>
    <row r="57" spans="1:4" ht="17.25" x14ac:dyDescent="0.3">
      <c r="A57" s="3" t="s">
        <v>14</v>
      </c>
      <c r="B57" s="2" t="s">
        <v>75</v>
      </c>
      <c r="C57" s="51">
        <f>C40*C7*C8*(C5-C7/2)</f>
        <v>59752676.165433176</v>
      </c>
      <c r="D57" s="3" t="s">
        <v>38</v>
      </c>
    </row>
    <row r="58" spans="1:4" ht="17.25" x14ac:dyDescent="0.3">
      <c r="A58" s="3" t="s">
        <v>15</v>
      </c>
      <c r="B58" s="2" t="s">
        <v>75</v>
      </c>
      <c r="C58" s="51">
        <f>C40*C6*C8*C5</f>
        <v>240180536.76793995</v>
      </c>
      <c r="D58" s="3" t="s">
        <v>38</v>
      </c>
    </row>
    <row r="59" spans="1:4" ht="17.25" x14ac:dyDescent="0.3">
      <c r="A59" s="3" t="s">
        <v>16</v>
      </c>
      <c r="B59" s="2" t="s">
        <v>76</v>
      </c>
      <c r="C59" s="51">
        <f>C41*C5*C8*C5/2</f>
        <v>251100654.09035602</v>
      </c>
      <c r="D59" s="3" t="s">
        <v>38</v>
      </c>
    </row>
    <row r="60" spans="1:4" ht="17.25" x14ac:dyDescent="0.3">
      <c r="B60" s="13" t="s">
        <v>77</v>
      </c>
      <c r="C60" s="51">
        <f>SUM(C55:C59)/(C11*C42)</f>
        <v>35.615490055885864</v>
      </c>
      <c r="D60" s="3" t="s">
        <v>38</v>
      </c>
    </row>
    <row r="61" spans="1:4" ht="17.25" x14ac:dyDescent="0.3">
      <c r="A61" s="3" t="s">
        <v>39</v>
      </c>
      <c r="B61" s="2" t="s">
        <v>78</v>
      </c>
      <c r="C61" s="7">
        <f>ABS(C60-C5/2)</f>
        <v>2.0904900558858657</v>
      </c>
      <c r="D61" s="3" t="s">
        <v>2</v>
      </c>
    </row>
    <row r="62" spans="1:4" x14ac:dyDescent="0.25">
      <c r="C62" s="7"/>
    </row>
    <row r="63" spans="1:4" ht="17.25" x14ac:dyDescent="0.3">
      <c r="A63" s="3" t="s">
        <v>40</v>
      </c>
      <c r="B63" s="2" t="s">
        <v>79</v>
      </c>
      <c r="C63" s="7">
        <f>ABS(C52-C61)</f>
        <v>21.045534319853356</v>
      </c>
      <c r="D63" s="3" t="s">
        <v>2</v>
      </c>
    </row>
    <row r="64" spans="1:4" ht="17.25" x14ac:dyDescent="0.3">
      <c r="A64" s="3" t="s">
        <v>41</v>
      </c>
      <c r="B64" s="2" t="s">
        <v>80</v>
      </c>
      <c r="C64" s="7">
        <f>C61</f>
        <v>2.0904900558858657</v>
      </c>
      <c r="D64" s="3" t="s">
        <v>2</v>
      </c>
    </row>
    <row r="65" spans="1:7" x14ac:dyDescent="0.25">
      <c r="C65" s="7"/>
    </row>
    <row r="66" spans="1:7" x14ac:dyDescent="0.25">
      <c r="B66" s="13"/>
      <c r="C66" s="10"/>
    </row>
    <row r="67" spans="1:7" x14ac:dyDescent="0.25">
      <c r="A67" s="2"/>
      <c r="C67" s="14"/>
    </row>
    <row r="68" spans="1:7" x14ac:dyDescent="0.25">
      <c r="A68" s="2" t="s">
        <v>158</v>
      </c>
      <c r="C68" s="14"/>
    </row>
    <row r="69" spans="1:7" ht="19.5" x14ac:dyDescent="0.3">
      <c r="A69" s="3" t="s">
        <v>13</v>
      </c>
      <c r="B69" s="2" t="s">
        <v>81</v>
      </c>
      <c r="C69" s="53">
        <f>C39*(C8*C7^3/12+C8*C7*(C60-C7/2)^2)</f>
        <v>751291697.57335591</v>
      </c>
      <c r="D69" s="3" t="s">
        <v>82</v>
      </c>
    </row>
    <row r="70" spans="1:7" ht="19.5" x14ac:dyDescent="0.3">
      <c r="A70" s="3" t="s">
        <v>12</v>
      </c>
      <c r="B70" s="2" t="s">
        <v>83</v>
      </c>
      <c r="C70" s="53">
        <f>C39*(C6*C8^3/12+C8*C6*(C60)^2)</f>
        <v>3547286223.022368</v>
      </c>
      <c r="D70" s="3" t="s">
        <v>82</v>
      </c>
    </row>
    <row r="71" spans="1:7" ht="19.5" x14ac:dyDescent="0.3">
      <c r="A71" s="3" t="s">
        <v>14</v>
      </c>
      <c r="B71" s="2" t="s">
        <v>84</v>
      </c>
      <c r="C71" s="53">
        <f>C40*(C8*C7^3/12+C8*C7*(C5-C60-C7/2)^2)</f>
        <v>727426163.57566392</v>
      </c>
      <c r="D71" s="3" t="s">
        <v>82</v>
      </c>
    </row>
    <row r="72" spans="1:7" ht="19.5" x14ac:dyDescent="0.3">
      <c r="A72" s="3" t="s">
        <v>15</v>
      </c>
      <c r="B72" s="2" t="s">
        <v>85</v>
      </c>
      <c r="C72" s="53">
        <f>C40*(C6*C8^3/12+C8*C6*(C5-C60)^2)</f>
        <v>3539854985.6925669</v>
      </c>
      <c r="D72" s="3" t="s">
        <v>82</v>
      </c>
    </row>
    <row r="73" spans="1:7" ht="19.5" x14ac:dyDescent="0.3">
      <c r="A73" s="3" t="s">
        <v>16</v>
      </c>
      <c r="B73" s="2" t="s">
        <v>86</v>
      </c>
      <c r="C73" s="53">
        <f>C41*(C8*C5^3/12+C8*C5*(C5/2-C60)^2)</f>
        <v>2838782014.9914999</v>
      </c>
      <c r="D73" s="3" t="s">
        <v>82</v>
      </c>
    </row>
    <row r="74" spans="1:7" x14ac:dyDescent="0.25">
      <c r="C74" s="12"/>
    </row>
    <row r="75" spans="1:7" ht="19.5" x14ac:dyDescent="0.3">
      <c r="A75" s="2"/>
      <c r="B75" s="2" t="s">
        <v>87</v>
      </c>
      <c r="C75" s="12">
        <f>SUM(C69:C73)</f>
        <v>11404641084.855453</v>
      </c>
      <c r="D75" s="3" t="s">
        <v>82</v>
      </c>
    </row>
    <row r="76" spans="1:7" x14ac:dyDescent="0.25">
      <c r="C76" s="15"/>
    </row>
    <row r="77" spans="1:7" x14ac:dyDescent="0.25">
      <c r="A77" s="2" t="s">
        <v>159</v>
      </c>
      <c r="G77" s="52"/>
    </row>
    <row r="78" spans="1:7" x14ac:dyDescent="0.25">
      <c r="A78" s="2" t="s">
        <v>160</v>
      </c>
    </row>
    <row r="79" spans="1:7" ht="19.5" customHeight="1" x14ac:dyDescent="0.3">
      <c r="A79" s="3" t="s">
        <v>7</v>
      </c>
      <c r="B79" s="2" t="s">
        <v>88</v>
      </c>
      <c r="C79" s="16">
        <f>IF((C45*C7*C8+C45*C6*C8+C44*C7*C8+C44*C6*C8+C46*C5*C8)/1000&gt;(C11*C47)/1000,(C11*C47)/1000,(C45*C7*C8+C45*C6*C8+C44*C7*C8+C44*C6*C8+C46*C5*C8)/1000)</f>
        <v>35.001445107136881</v>
      </c>
      <c r="D79" s="3" t="s">
        <v>8</v>
      </c>
    </row>
    <row r="80" spans="1:7" ht="17.25" x14ac:dyDescent="0.3">
      <c r="A80" s="3" t="s">
        <v>20</v>
      </c>
      <c r="B80" s="2" t="s">
        <v>89</v>
      </c>
      <c r="C80" s="16">
        <f>(PI()^2)*C75/(C9^2*1000)</f>
        <v>12.506588427103766</v>
      </c>
      <c r="D80" s="3" t="s">
        <v>8</v>
      </c>
    </row>
    <row r="81" spans="1:4" ht="17.25" x14ac:dyDescent="0.3">
      <c r="A81" s="3" t="s">
        <v>9</v>
      </c>
      <c r="B81" s="2" t="s">
        <v>90</v>
      </c>
      <c r="C81" s="16">
        <f>C34*C41/C17</f>
        <v>5.1156722393890774</v>
      </c>
      <c r="D81" s="3" t="s">
        <v>8</v>
      </c>
    </row>
    <row r="83" spans="1:4" x14ac:dyDescent="0.25">
      <c r="A83" s="2" t="s">
        <v>162</v>
      </c>
    </row>
    <row r="84" spans="1:4" ht="17.25" x14ac:dyDescent="0.3">
      <c r="A84" s="3" t="s">
        <v>10</v>
      </c>
      <c r="B84" s="2" t="s">
        <v>91</v>
      </c>
      <c r="C84" s="16">
        <f>SQRT(C79/C80)</f>
        <v>1.6729137806377954</v>
      </c>
    </row>
    <row r="85" spans="1:4" ht="17.25" x14ac:dyDescent="0.3">
      <c r="A85" s="3" t="s">
        <v>21</v>
      </c>
      <c r="B85" s="2" t="s">
        <v>92</v>
      </c>
      <c r="C85" s="16">
        <f>IF(C84&lt;=1.5,(0.658^(C84^2))*C79,(0.877/(C84^2))*C79)</f>
        <v>10.968278050570007</v>
      </c>
      <c r="D85" s="3" t="s">
        <v>8</v>
      </c>
    </row>
    <row r="87" spans="1:4" x14ac:dyDescent="0.25">
      <c r="A87" s="2" t="s">
        <v>161</v>
      </c>
    </row>
    <row r="88" spans="1:4" ht="17.25" x14ac:dyDescent="0.3">
      <c r="A88" s="3" t="s">
        <v>10</v>
      </c>
      <c r="B88" s="2" t="s">
        <v>93</v>
      </c>
      <c r="C88" s="16">
        <f>SQRT(C85/C81)</f>
        <v>1.4642588918079162</v>
      </c>
    </row>
    <row r="89" spans="1:4" ht="17.25" x14ac:dyDescent="0.3">
      <c r="A89" s="3" t="s">
        <v>11</v>
      </c>
      <c r="B89" s="2" t="s">
        <v>94</v>
      </c>
      <c r="C89" s="16">
        <f>IF(C88&lt;0.776,C85,(1-0.15*(C81/C85)^0.4)*((C81/C85)^0.4)*C85)</f>
        <v>7.1905306993143734</v>
      </c>
      <c r="D89" s="3" t="s">
        <v>8</v>
      </c>
    </row>
    <row r="91" spans="1:4" x14ac:dyDescent="0.25">
      <c r="A91" s="17" t="s">
        <v>150</v>
      </c>
      <c r="B91" s="18"/>
      <c r="C91" s="17">
        <f>MIN(C85,C89)</f>
        <v>7.1905306993143734</v>
      </c>
      <c r="D91" s="19" t="s">
        <v>8</v>
      </c>
    </row>
    <row r="93" spans="1:4" x14ac:dyDescent="0.25">
      <c r="A93" s="2" t="s">
        <v>163</v>
      </c>
    </row>
    <row r="94" spans="1:4" ht="19.5" x14ac:dyDescent="0.3">
      <c r="B94" s="2" t="s">
        <v>104</v>
      </c>
      <c r="C94" s="7">
        <f>C11</f>
        <v>128.203</v>
      </c>
      <c r="D94" s="3" t="s">
        <v>49</v>
      </c>
    </row>
    <row r="95" spans="1:4" ht="17.25" x14ac:dyDescent="0.3">
      <c r="B95" s="2" t="s">
        <v>105</v>
      </c>
      <c r="C95" s="16">
        <f>C60</f>
        <v>35.615490055885864</v>
      </c>
      <c r="D95" s="3" t="s">
        <v>2</v>
      </c>
    </row>
    <row r="96" spans="1:4" x14ac:dyDescent="0.25">
      <c r="A96" s="2"/>
      <c r="C96" s="7"/>
    </row>
    <row r="97" spans="1:4" ht="19.5" x14ac:dyDescent="0.3">
      <c r="B97" s="2" t="s">
        <v>95</v>
      </c>
      <c r="C97" s="9">
        <f>C75/(C95*C42)</f>
        <v>2640.1060668554337</v>
      </c>
      <c r="D97" s="3" t="s">
        <v>53</v>
      </c>
    </row>
    <row r="99" spans="1:4" x14ac:dyDescent="0.25">
      <c r="A99" s="1" t="s">
        <v>164</v>
      </c>
    </row>
    <row r="100" spans="1:4" ht="17.25" x14ac:dyDescent="0.3">
      <c r="A100" s="3" t="s">
        <v>42</v>
      </c>
      <c r="B100" s="2" t="s">
        <v>96</v>
      </c>
      <c r="C100" s="9">
        <f>C97*C46</f>
        <v>706882.17507041153</v>
      </c>
      <c r="D100" s="3" t="s">
        <v>38</v>
      </c>
    </row>
    <row r="102" spans="1:4" ht="17.25" x14ac:dyDescent="0.3">
      <c r="A102" s="3" t="s">
        <v>43</v>
      </c>
      <c r="B102" s="2" t="s">
        <v>97</v>
      </c>
      <c r="C102" s="9">
        <f>C35*C41/C17</f>
        <v>889658.9412647885</v>
      </c>
      <c r="D102" s="3" t="s">
        <v>38</v>
      </c>
    </row>
    <row r="105" spans="1:4" ht="17.25" x14ac:dyDescent="0.3">
      <c r="B105" s="2" t="s">
        <v>91</v>
      </c>
      <c r="C105" s="16">
        <f>SQRT(C100/C102)</f>
        <v>0.8913776515217281</v>
      </c>
    </row>
    <row r="106" spans="1:4" ht="17.25" x14ac:dyDescent="0.3">
      <c r="A106" s="3" t="s">
        <v>44</v>
      </c>
      <c r="B106" s="2" t="s">
        <v>98</v>
      </c>
      <c r="C106" s="9">
        <f>IF(C105&lt;=0.776,C100,(1-0.15*(C102/C100)^0.4)*(C102/C100)^0.4*C100)</f>
        <v>647542.84464247944</v>
      </c>
      <c r="D106" s="3" t="s">
        <v>38</v>
      </c>
    </row>
    <row r="109" spans="1:4" ht="17.25" x14ac:dyDescent="0.3">
      <c r="A109" s="3" t="s">
        <v>19</v>
      </c>
      <c r="B109" s="2" t="s">
        <v>99</v>
      </c>
    </row>
    <row r="111" spans="1:4" x14ac:dyDescent="0.25">
      <c r="B111" s="20" t="s">
        <v>45</v>
      </c>
      <c r="C111" s="20" t="s">
        <v>18</v>
      </c>
      <c r="D111" s="20" t="s">
        <v>45</v>
      </c>
    </row>
    <row r="112" spans="1:4" x14ac:dyDescent="0.25">
      <c r="A112" s="3">
        <v>1</v>
      </c>
      <c r="B112" s="2">
        <v>0</v>
      </c>
      <c r="C112" s="16">
        <f t="shared" ref="C112:C121" si="0">(1-B112/$C$80)</f>
        <v>1</v>
      </c>
      <c r="D112" s="11">
        <f t="shared" ref="D112:D121" si="1">1/(1/($C$91*1000)+$C$63/(C112*$C$106))</f>
        <v>5828.4433175441172</v>
      </c>
    </row>
    <row r="113" spans="1:6" x14ac:dyDescent="0.25">
      <c r="A113" s="3">
        <v>2</v>
      </c>
      <c r="B113" s="18">
        <f>D112/1000</f>
        <v>5.8284433175441173</v>
      </c>
      <c r="C113" s="16">
        <f>(1-B113/$C$80)</f>
        <v>0.53397016688316423</v>
      </c>
      <c r="D113" s="11">
        <f t="shared" si="1"/>
        <v>5001.5567265304098</v>
      </c>
    </row>
    <row r="114" spans="1:6" x14ac:dyDescent="0.25">
      <c r="A114" s="3">
        <v>3</v>
      </c>
      <c r="B114" s="18">
        <f>D113/1000</f>
        <v>5.0015567265304099</v>
      </c>
      <c r="C114" s="16">
        <f t="shared" si="0"/>
        <v>0.60008624608680328</v>
      </c>
      <c r="D114" s="11">
        <f t="shared" si="1"/>
        <v>5175.134747933047</v>
      </c>
    </row>
    <row r="115" spans="1:6" x14ac:dyDescent="0.25">
      <c r="A115" s="3">
        <v>4</v>
      </c>
      <c r="B115" s="18">
        <f t="shared" ref="B115:B121" si="2">D114/1000</f>
        <v>5.175134747933047</v>
      </c>
      <c r="C115" s="16">
        <f t="shared" si="0"/>
        <v>0.58620731959822825</v>
      </c>
      <c r="D115" s="11">
        <f t="shared" si="1"/>
        <v>5141.0191258287086</v>
      </c>
    </row>
    <row r="116" spans="1:6" x14ac:dyDescent="0.25">
      <c r="A116" s="3">
        <v>5</v>
      </c>
      <c r="B116" s="18">
        <f t="shared" si="2"/>
        <v>5.1410191258287083</v>
      </c>
      <c r="C116" s="16">
        <f t="shared" si="0"/>
        <v>0.58893513160732924</v>
      </c>
      <c r="D116" s="11">
        <f t="shared" si="1"/>
        <v>5147.8152194800641</v>
      </c>
    </row>
    <row r="117" spans="1:6" x14ac:dyDescent="0.25">
      <c r="A117" s="3">
        <v>6</v>
      </c>
      <c r="B117" s="18">
        <f t="shared" si="2"/>
        <v>5.1478152194800639</v>
      </c>
      <c r="C117" s="16">
        <f t="shared" si="0"/>
        <v>0.58839173052789284</v>
      </c>
      <c r="D117" s="11">
        <f t="shared" si="1"/>
        <v>5146.4649828246793</v>
      </c>
    </row>
    <row r="118" spans="1:6" x14ac:dyDescent="0.25">
      <c r="A118" s="3">
        <v>7</v>
      </c>
      <c r="B118" s="18">
        <f t="shared" si="2"/>
        <v>5.1464649828246793</v>
      </c>
      <c r="C118" s="16">
        <f t="shared" si="0"/>
        <v>0.58849969255632728</v>
      </c>
      <c r="D118" s="11">
        <f t="shared" si="1"/>
        <v>5146.7333876852044</v>
      </c>
    </row>
    <row r="119" spans="1:6" x14ac:dyDescent="0.25">
      <c r="A119" s="3">
        <v>8</v>
      </c>
      <c r="B119" s="18">
        <f t="shared" si="2"/>
        <v>5.1467333876852042</v>
      </c>
      <c r="C119" s="16">
        <f t="shared" si="0"/>
        <v>0.58847823147906475</v>
      </c>
      <c r="D119" s="11">
        <f t="shared" si="1"/>
        <v>5146.6800388226775</v>
      </c>
    </row>
    <row r="120" spans="1:6" x14ac:dyDescent="0.25">
      <c r="A120" s="3">
        <v>9</v>
      </c>
      <c r="B120" s="18">
        <f t="shared" si="2"/>
        <v>5.1466800388226774</v>
      </c>
      <c r="C120" s="16">
        <f t="shared" si="0"/>
        <v>0.58848249713974732</v>
      </c>
      <c r="D120" s="11">
        <f t="shared" si="1"/>
        <v>5146.6906428059729</v>
      </c>
    </row>
    <row r="121" spans="1:6" x14ac:dyDescent="0.25">
      <c r="A121" s="3">
        <v>10</v>
      </c>
      <c r="B121" s="18">
        <f t="shared" si="2"/>
        <v>5.1466906428059724</v>
      </c>
      <c r="C121" s="16">
        <f t="shared" si="0"/>
        <v>0.58848164926797497</v>
      </c>
      <c r="D121" s="11">
        <f t="shared" si="1"/>
        <v>5146.6885350947869</v>
      </c>
    </row>
    <row r="123" spans="1:6" x14ac:dyDescent="0.25">
      <c r="A123" s="30" t="s">
        <v>153</v>
      </c>
      <c r="B123" s="30"/>
      <c r="C123" s="31"/>
      <c r="D123" s="30">
        <f>D121/1000</f>
        <v>5.1466885350947873</v>
      </c>
      <c r="E123" s="30" t="s">
        <v>8</v>
      </c>
      <c r="F123" s="3" t="b">
        <f>ISERROR(D123)</f>
        <v>0</v>
      </c>
    </row>
    <row r="125" spans="1:6" x14ac:dyDescent="0.25">
      <c r="A125" s="1" t="s">
        <v>165</v>
      </c>
    </row>
    <row r="126" spans="1:6" ht="17.25" x14ac:dyDescent="0.3">
      <c r="A126" s="3" t="s">
        <v>42</v>
      </c>
      <c r="B126" s="2" t="s">
        <v>100</v>
      </c>
      <c r="C126" s="9">
        <f>C97*C44</f>
        <v>590494.35653488617</v>
      </c>
      <c r="D126" s="3" t="s">
        <v>17</v>
      </c>
    </row>
    <row r="128" spans="1:6" ht="17.25" x14ac:dyDescent="0.3">
      <c r="A128" s="3" t="s">
        <v>43</v>
      </c>
      <c r="B128" s="2" t="s">
        <v>97</v>
      </c>
      <c r="C128" s="9">
        <f>C102</f>
        <v>889658.9412647885</v>
      </c>
      <c r="D128" s="3" t="s">
        <v>38</v>
      </c>
    </row>
    <row r="131" spans="1:4" ht="17.25" x14ac:dyDescent="0.3">
      <c r="B131" s="2" t="s">
        <v>91</v>
      </c>
      <c r="C131" s="16">
        <f>SQRT(C126/C128)</f>
        <v>0.81469697119841822</v>
      </c>
    </row>
    <row r="132" spans="1:4" ht="17.25" x14ac:dyDescent="0.3">
      <c r="A132" s="3" t="s">
        <v>44</v>
      </c>
      <c r="B132" s="2" t="s">
        <v>101</v>
      </c>
      <c r="C132" s="9">
        <f>IF(C131&lt;=0.776,C126,(1-0.15*(C128/C126)^0.4)*(C128/C126)^0.4*C126)</f>
        <v>572749.30786246469</v>
      </c>
      <c r="D132" s="3" t="s">
        <v>38</v>
      </c>
    </row>
    <row r="135" spans="1:4" ht="17.25" x14ac:dyDescent="0.3">
      <c r="A135" s="3" t="s">
        <v>19</v>
      </c>
      <c r="B135" s="2" t="s">
        <v>102</v>
      </c>
    </row>
    <row r="137" spans="1:4" x14ac:dyDescent="0.25">
      <c r="B137" s="20" t="s">
        <v>45</v>
      </c>
      <c r="C137" s="20" t="s">
        <v>18</v>
      </c>
      <c r="D137" s="20" t="s">
        <v>45</v>
      </c>
    </row>
    <row r="138" spans="1:4" x14ac:dyDescent="0.25">
      <c r="A138" s="3">
        <v>1</v>
      </c>
      <c r="B138" s="2">
        <v>0</v>
      </c>
      <c r="C138" s="16">
        <f t="shared" ref="C138:C147" si="3">(1-B138/$C$80)</f>
        <v>1</v>
      </c>
      <c r="D138" s="11">
        <f t="shared" ref="D138:D147" si="4">1/(1/($C$91*1000)+$C$64/(C138*$C$132))</f>
        <v>7006.642262039325</v>
      </c>
    </row>
    <row r="139" spans="1:4" x14ac:dyDescent="0.25">
      <c r="A139" s="3">
        <v>2</v>
      </c>
      <c r="B139" s="18">
        <f>D138/1000</f>
        <v>7.0066422620393247</v>
      </c>
      <c r="C139" s="16">
        <f t="shared" si="3"/>
        <v>0.43976390501067286</v>
      </c>
      <c r="D139" s="11">
        <f t="shared" si="4"/>
        <v>6785.5714478318614</v>
      </c>
    </row>
    <row r="140" spans="1:4" x14ac:dyDescent="0.25">
      <c r="A140" s="3">
        <v>3</v>
      </c>
      <c r="B140" s="18">
        <f>D139/1000</f>
        <v>6.7855714478318614</v>
      </c>
      <c r="C140" s="16">
        <f t="shared" si="3"/>
        <v>0.45744025340064376</v>
      </c>
      <c r="D140" s="11">
        <f t="shared" si="4"/>
        <v>6800.3707468390585</v>
      </c>
    </row>
    <row r="141" spans="1:4" x14ac:dyDescent="0.25">
      <c r="A141" s="3">
        <v>4</v>
      </c>
      <c r="B141" s="18">
        <f>D140/1000</f>
        <v>6.8003707468390582</v>
      </c>
      <c r="C141" s="16">
        <f t="shared" si="3"/>
        <v>0.45625693317759042</v>
      </c>
      <c r="D141" s="11">
        <f t="shared" si="4"/>
        <v>6799.4138920543746</v>
      </c>
    </row>
    <row r="142" spans="1:4" x14ac:dyDescent="0.25">
      <c r="A142" s="3">
        <v>5</v>
      </c>
      <c r="B142" s="18">
        <f>D141/1000</f>
        <v>6.7994138920543747</v>
      </c>
      <c r="C142" s="16">
        <f t="shared" si="3"/>
        <v>0.45633344123494435</v>
      </c>
      <c r="D142" s="11">
        <f t="shared" si="4"/>
        <v>6799.4758997870695</v>
      </c>
    </row>
    <row r="143" spans="1:4" x14ac:dyDescent="0.25">
      <c r="A143" s="3">
        <v>6</v>
      </c>
      <c r="B143" s="18">
        <f>D142/1000</f>
        <v>6.7994758997870699</v>
      </c>
      <c r="C143" s="16">
        <f t="shared" si="3"/>
        <v>0.45632848322956532</v>
      </c>
      <c r="D143" s="11">
        <f t="shared" si="4"/>
        <v>6799.471882052203</v>
      </c>
    </row>
    <row r="144" spans="1:4" ht="18.75" customHeight="1" x14ac:dyDescent="0.25">
      <c r="A144" s="3">
        <v>7</v>
      </c>
      <c r="B144" s="18">
        <f t="shared" ref="B144:B147" si="5">D143/1000</f>
        <v>6.7994718820522033</v>
      </c>
      <c r="C144" s="16">
        <f t="shared" si="3"/>
        <v>0.45632880447903235</v>
      </c>
      <c r="D144" s="11">
        <f t="shared" si="4"/>
        <v>6799.4721423801957</v>
      </c>
    </row>
    <row r="145" spans="1:5" x14ac:dyDescent="0.25">
      <c r="A145" s="3">
        <v>8</v>
      </c>
      <c r="B145" s="18">
        <f t="shared" si="5"/>
        <v>6.7994721423801954</v>
      </c>
      <c r="C145" s="16">
        <f t="shared" si="3"/>
        <v>0.45632878366376417</v>
      </c>
      <c r="D145" s="11">
        <f t="shared" si="4"/>
        <v>6799.4721255123277</v>
      </c>
    </row>
    <row r="146" spans="1:5" x14ac:dyDescent="0.25">
      <c r="A146" s="3">
        <v>9</v>
      </c>
      <c r="B146" s="18">
        <f t="shared" si="5"/>
        <v>6.7994721255123274</v>
      </c>
      <c r="C146" s="16">
        <f t="shared" si="3"/>
        <v>0.45632878501248275</v>
      </c>
      <c r="D146" s="11">
        <f t="shared" si="4"/>
        <v>6799.4721266052757</v>
      </c>
    </row>
    <row r="147" spans="1:5" x14ac:dyDescent="0.25">
      <c r="A147" s="3">
        <v>10</v>
      </c>
      <c r="B147" s="18">
        <f t="shared" si="5"/>
        <v>6.7994721266052753</v>
      </c>
      <c r="C147" s="16">
        <f t="shared" si="3"/>
        <v>0.45632878492509299</v>
      </c>
      <c r="D147" s="11">
        <f t="shared" si="4"/>
        <v>6799.4721265344579</v>
      </c>
    </row>
    <row r="149" spans="1:5" x14ac:dyDescent="0.25">
      <c r="A149" s="30" t="s">
        <v>152</v>
      </c>
      <c r="B149" s="30"/>
      <c r="C149" s="31"/>
      <c r="D149" s="30">
        <f>D147/1000</f>
        <v>6.7994721265344582</v>
      </c>
      <c r="E149" s="30" t="s">
        <v>8</v>
      </c>
    </row>
    <row r="152" spans="1:5" ht="30" customHeight="1" x14ac:dyDescent="0.25">
      <c r="A152" s="63" t="s">
        <v>46</v>
      </c>
      <c r="B152" s="63">
        <f>MIN(D149,D123)</f>
        <v>5.1466885350947873</v>
      </c>
      <c r="C152" s="28">
        <f>IF(F123=TRUE,D149,MIN(D149,D123))</f>
        <v>5.1466885350947873</v>
      </c>
      <c r="D152" s="25" t="s">
        <v>8</v>
      </c>
    </row>
    <row r="153" spans="1:5" x14ac:dyDescent="0.25">
      <c r="B153" s="3"/>
    </row>
  </sheetData>
  <mergeCells count="3">
    <mergeCell ref="A39:A42"/>
    <mergeCell ref="A44:A47"/>
    <mergeCell ref="A152:B15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Input-Output Screen</vt:lpstr>
      <vt:lpstr>Sheet7</vt:lpstr>
      <vt:lpstr>DSM-AS4600 (SA, 2005)-Ambient</vt:lpstr>
      <vt:lpstr>DSM -Temp (Sheet 1) </vt:lpstr>
      <vt:lpstr>DSM -Temp (Sheet 2)</vt:lpstr>
      <vt:lpstr>DSM -Temp (Sheet 3)</vt:lpstr>
      <vt:lpstr>DSM -Temp (Sheet 4)</vt:lpstr>
      <vt:lpstr>DSM -Temp (Sheet 5)</vt:lpstr>
      <vt:lpstr>DSM -Temp (Sheet 6)</vt:lpstr>
      <vt:lpstr>DSM -Temp (Sheet 7)</vt:lpstr>
      <vt:lpstr>DSM -Temp (Sheet 8)</vt:lpstr>
      <vt:lpstr>DSM -Temp (Sheet 9)</vt:lpstr>
      <vt:lpstr>DSM -Temp (Sheet 10)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2019-10-04T09:40:04Z</dcterms:modified>
</cp:coreProperties>
</file>