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9\Downloads\work\"/>
    </mc:Choice>
  </mc:AlternateContent>
  <xr:revisionPtr revIDLastSave="0" documentId="13_ncr:1_{97544590-BCFC-4377-8EAA-DA05B0A7D558}" xr6:coauthVersionLast="47" xr6:coauthVersionMax="47" xr10:uidLastSave="{00000000-0000-0000-0000-000000000000}"/>
  <bookViews>
    <workbookView xWindow="-108" yWindow="-108" windowWidth="23256" windowHeight="12456" tabRatio="820" xr2:uid="{00000000-000D-0000-FFFF-FFFF00000000}"/>
  </bookViews>
  <sheets>
    <sheet name="Break-Even Analysis" sheetId="11" r:id="rId1"/>
    <sheet name="Projected FCF" sheetId="1" r:id="rId2"/>
    <sheet name="Perpetuity Growth Metho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1" l="1"/>
  <c r="C9" i="2"/>
  <c r="D9" i="2"/>
  <c r="E9" i="2"/>
  <c r="F9" i="2"/>
  <c r="B9" i="2"/>
  <c r="D8" i="2"/>
  <c r="E8" i="2"/>
  <c r="F8" i="2"/>
  <c r="C8" i="2"/>
  <c r="B8" i="2"/>
  <c r="C7" i="2"/>
  <c r="D7" i="2"/>
  <c r="E7" i="2"/>
  <c r="F7" i="2"/>
  <c r="B7" i="2"/>
  <c r="C30" i="11"/>
  <c r="D30" i="11"/>
  <c r="E30" i="11"/>
  <c r="F30" i="11"/>
  <c r="B30" i="11"/>
  <c r="C29" i="11"/>
  <c r="D29" i="11"/>
  <c r="E29" i="11"/>
  <c r="F29" i="11"/>
  <c r="C28" i="11"/>
  <c r="D28" i="11"/>
  <c r="E28" i="11"/>
  <c r="F28" i="11"/>
  <c r="C26" i="11"/>
  <c r="D26" i="11"/>
  <c r="E26" i="11"/>
  <c r="F26" i="11"/>
  <c r="C25" i="11"/>
  <c r="D25" i="11"/>
  <c r="E25" i="11"/>
  <c r="F25" i="11"/>
  <c r="D24" i="11"/>
  <c r="E24" i="11" s="1"/>
  <c r="F24" i="11" s="1"/>
  <c r="C24" i="11"/>
  <c r="D23" i="11"/>
  <c r="E23" i="11" s="1"/>
  <c r="F23" i="11" s="1"/>
  <c r="C23" i="11"/>
  <c r="C22" i="11"/>
  <c r="D22" i="11"/>
  <c r="E22" i="11" s="1"/>
  <c r="F22" i="11" s="1"/>
  <c r="C21" i="11"/>
  <c r="D21" i="11"/>
  <c r="E21" i="11"/>
  <c r="F21" i="11"/>
  <c r="B29" i="11"/>
  <c r="B26" i="11"/>
  <c r="B25" i="11"/>
  <c r="B11" i="11"/>
  <c r="B21" i="11"/>
  <c r="B7" i="11"/>
  <c r="D19" i="11"/>
  <c r="E19" i="11" s="1"/>
  <c r="F19" i="11" s="1"/>
  <c r="C19" i="11"/>
  <c r="E17" i="11"/>
  <c r="F17" i="11" s="1"/>
  <c r="D17" i="11"/>
  <c r="C17" i="11"/>
  <c r="B14" i="11"/>
  <c r="B13" i="11"/>
  <c r="B12" i="11"/>
  <c r="B5" i="11"/>
  <c r="B19" i="11"/>
  <c r="E20" i="1"/>
  <c r="F20" i="1"/>
  <c r="G20" i="1"/>
  <c r="H20" i="1"/>
  <c r="I20" i="1"/>
  <c r="E17" i="1"/>
  <c r="E15" i="1"/>
  <c r="E14" i="1"/>
  <c r="E13" i="1"/>
  <c r="F13" i="1"/>
  <c r="F14" i="1" s="1"/>
  <c r="G13" i="1"/>
  <c r="G14" i="1" s="1"/>
  <c r="H13" i="1"/>
  <c r="E12" i="1"/>
  <c r="F12" i="1"/>
  <c r="F17" i="1" s="1"/>
  <c r="G12" i="1"/>
  <c r="G17" i="1" s="1"/>
  <c r="H12" i="1"/>
  <c r="H17" i="1" s="1"/>
  <c r="I12" i="1"/>
  <c r="I13" i="1" s="1"/>
  <c r="E10" i="1"/>
  <c r="F10" i="1"/>
  <c r="G10" i="1"/>
  <c r="H10" i="1"/>
  <c r="I10" i="1"/>
  <c r="E9" i="1"/>
  <c r="F9" i="1"/>
  <c r="G9" i="1"/>
  <c r="H9" i="1"/>
  <c r="I9" i="1"/>
  <c r="E8" i="1"/>
  <c r="F8" i="1"/>
  <c r="G8" i="1"/>
  <c r="H8" i="1"/>
  <c r="I8" i="1"/>
  <c r="E7" i="1"/>
  <c r="F7" i="1"/>
  <c r="G7" i="1"/>
  <c r="H7" i="1"/>
  <c r="I7" i="1"/>
  <c r="E5" i="1"/>
  <c r="F5" i="1"/>
  <c r="G5" i="1"/>
  <c r="H5" i="1"/>
  <c r="I5" i="1"/>
  <c r="E4" i="1"/>
  <c r="F4" i="1"/>
  <c r="G4" i="1"/>
  <c r="H4" i="1"/>
  <c r="I4" i="1"/>
  <c r="F3" i="1"/>
  <c r="G3" i="1" s="1"/>
  <c r="H3" i="1" s="1"/>
  <c r="I3" i="1" s="1"/>
  <c r="D31" i="1"/>
  <c r="I14" i="1" l="1"/>
  <c r="I15" i="1" s="1"/>
  <c r="G15" i="1"/>
  <c r="F15" i="1"/>
  <c r="H14" i="1"/>
  <c r="H15" i="1" s="1"/>
  <c r="I17" i="1"/>
  <c r="E3" i="1"/>
  <c r="E29" i="1" l="1"/>
  <c r="D18" i="1"/>
  <c r="C18" i="1"/>
  <c r="C17" i="1"/>
  <c r="B17" i="1"/>
  <c r="C25" i="1"/>
  <c r="B5" i="1"/>
  <c r="B24" i="11" l="1"/>
  <c r="B23" i="11"/>
  <c r="B22" i="11"/>
  <c r="B17" i="11"/>
  <c r="D12" i="1" l="1"/>
  <c r="D17" i="1" s="1"/>
  <c r="C29" i="1"/>
  <c r="C8" i="1" l="1"/>
  <c r="D8" i="1"/>
  <c r="E31" i="1" l="1"/>
  <c r="F31" i="1" l="1"/>
  <c r="G31" i="1" s="1"/>
  <c r="H31" i="1" s="1"/>
  <c r="I31" i="1" s="1"/>
  <c r="C5" i="1" l="1"/>
  <c r="C9" i="1" s="1"/>
  <c r="C13" i="1" s="1"/>
  <c r="C15" i="1" l="1"/>
  <c r="C20" i="1" s="1"/>
  <c r="B30" i="1"/>
  <c r="C30" i="1" l="1"/>
  <c r="D25" i="1"/>
  <c r="C24" i="1"/>
  <c r="C10" i="1"/>
  <c r="D24" i="1" l="1"/>
  <c r="D4" i="1" s="1"/>
  <c r="D5" i="1" s="1"/>
  <c r="D7" i="1"/>
  <c r="E25" i="1"/>
  <c r="F25" i="1" s="1"/>
  <c r="G25" i="1" s="1"/>
  <c r="H25" i="1" s="1"/>
  <c r="I25" i="1" s="1"/>
  <c r="D9" i="1" l="1"/>
  <c r="D13" i="1" s="1"/>
  <c r="D14" i="1" s="1"/>
  <c r="D10" i="1" l="1"/>
  <c r="D15" i="1"/>
  <c r="D20" i="1" s="1"/>
  <c r="B29" i="1" l="1"/>
  <c r="B25" i="1"/>
  <c r="B8" i="1"/>
  <c r="B9" i="1" s="1"/>
  <c r="B13" i="1" s="1"/>
  <c r="C31" i="1"/>
  <c r="B24" i="1"/>
  <c r="B10" i="1" l="1"/>
  <c r="B15" i="1"/>
  <c r="B20" i="1" s="1"/>
</calcChain>
</file>

<file path=xl/sharedStrings.xml><?xml version="1.0" encoding="utf-8"?>
<sst xmlns="http://schemas.openxmlformats.org/spreadsheetml/2006/main" count="72" uniqueCount="63">
  <si>
    <t>Historical</t>
  </si>
  <si>
    <t>Projected</t>
  </si>
  <si>
    <t>Sales</t>
  </si>
  <si>
    <t>COGS (excluding depr.)</t>
  </si>
  <si>
    <t>Gross Profit</t>
  </si>
  <si>
    <t>SG&amp;A</t>
  </si>
  <si>
    <t>R&amp;D Exp.</t>
  </si>
  <si>
    <t>EBITDA</t>
  </si>
  <si>
    <t xml:space="preserve">    EBITDA Margin</t>
  </si>
  <si>
    <t>EBIT</t>
  </si>
  <si>
    <t>Tax-effected EBIT</t>
  </si>
  <si>
    <t>Operating Assumptions</t>
  </si>
  <si>
    <t>Sales Growth</t>
  </si>
  <si>
    <t>COGS (% of sales)</t>
  </si>
  <si>
    <t>SG&amp;A (% of sales)</t>
  </si>
  <si>
    <t>R&amp;D Exp. (% of sales)</t>
  </si>
  <si>
    <t>Primary Expenditure Assumptions</t>
  </si>
  <si>
    <t>CapEx (% of sales)</t>
  </si>
  <si>
    <t>Depreciation (% of CapEx)</t>
  </si>
  <si>
    <t>NA</t>
  </si>
  <si>
    <t>WACC</t>
  </si>
  <si>
    <t>Terminal Growth Rate</t>
  </si>
  <si>
    <t>Years into the future</t>
  </si>
  <si>
    <t>FCF</t>
  </si>
  <si>
    <t>Terminal Value of FCF</t>
  </si>
  <si>
    <t>PV of TV (Discounted 5 Years)</t>
  </si>
  <si>
    <t>Enterprise Value</t>
  </si>
  <si>
    <t>PV of TV as % of EV</t>
  </si>
  <si>
    <t>Value Given Up to Investors</t>
  </si>
  <si>
    <t>YEAR ONE</t>
  </si>
  <si>
    <t>Break-even</t>
  </si>
  <si>
    <t>Rent</t>
  </si>
  <si>
    <t>Utilities</t>
  </si>
  <si>
    <t>Labor</t>
  </si>
  <si>
    <t>COGS (50% of Gross Sales)</t>
  </si>
  <si>
    <t>Total Cost</t>
  </si>
  <si>
    <t>Average Retail per Cake</t>
  </si>
  <si>
    <t>Cakes Sold per year</t>
  </si>
  <si>
    <t>Cakes Sold per day</t>
  </si>
  <si>
    <t>Gross Sales</t>
  </si>
  <si>
    <t>Net Income</t>
  </si>
  <si>
    <t>Margin</t>
  </si>
  <si>
    <t>Year One</t>
  </si>
  <si>
    <t>Year Two</t>
  </si>
  <si>
    <t>Year Three</t>
  </si>
  <si>
    <t>Year Four</t>
  </si>
  <si>
    <t>Year Five</t>
  </si>
  <si>
    <t>Rent (3% escalation)</t>
  </si>
  <si>
    <t>Start-up Cost Left</t>
  </si>
  <si>
    <t>Perpetuity Growth Method</t>
  </si>
  <si>
    <r>
      <t xml:space="preserve">Change in Working Capital (% of </t>
    </r>
    <r>
      <rPr>
        <sz val="8"/>
        <rFont val="Calibri"/>
        <family val="2"/>
      </rPr>
      <t>∆</t>
    </r>
    <r>
      <rPr>
        <sz val="8"/>
        <rFont val="Arial"/>
        <family val="2"/>
      </rPr>
      <t xml:space="preserve"> sales)</t>
    </r>
  </si>
  <si>
    <t>Change in working capital</t>
  </si>
  <si>
    <t>Utilities (3% escalation)</t>
  </si>
  <si>
    <t>Labor (5% escalation)</t>
  </si>
  <si>
    <t>Depreciation</t>
  </si>
  <si>
    <t>Taxes (35.0%)</t>
  </si>
  <si>
    <t>Capital Expenditures</t>
  </si>
  <si>
    <t>Free Cash Flow</t>
  </si>
  <si>
    <t>Growth Rate</t>
  </si>
  <si>
    <t>Gross Sales (year)</t>
  </si>
  <si>
    <t xml:space="preserve">Lets start with this assumption </t>
  </si>
  <si>
    <t xml:space="preserve"> We will start with this assumption</t>
  </si>
  <si>
    <t xml:space="preserve">PV of Cash 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</si>
</sst>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&quot;$&quot;#,##0_);[Red]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_);\(#,##0.0\)"/>
    <numFmt numFmtId="169" formatCode="0.0%"/>
    <numFmt numFmtId="170" formatCode="&quot;$&quot;#,##0.0_);\(&quot;$&quot;#,##0.0\)"/>
    <numFmt numFmtId="171" formatCode="_(* #,##0.0_);_(* \(#,##0.0\);_(* &quot;-&quot;??_);_(@_)"/>
    <numFmt numFmtId="172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Calibri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168" fontId="2" fillId="0" borderId="0" xfId="0" applyNumberFormat="1" applyFont="1"/>
    <xf numFmtId="0" fontId="3" fillId="0" borderId="0" xfId="0" applyFont="1"/>
    <xf numFmtId="9" fontId="2" fillId="0" borderId="0" xfId="1" applyFon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169" fontId="2" fillId="0" borderId="0" xfId="1" applyNumberFormat="1" applyFont="1"/>
    <xf numFmtId="170" fontId="5" fillId="0" borderId="1" xfId="0" applyNumberFormat="1" applyFont="1" applyBorder="1"/>
    <xf numFmtId="170" fontId="5" fillId="0" borderId="5" xfId="0" applyNumberFormat="1" applyFont="1" applyBorder="1"/>
    <xf numFmtId="0" fontId="5" fillId="0" borderId="0" xfId="0" applyFont="1"/>
    <xf numFmtId="170" fontId="5" fillId="0" borderId="0" xfId="3" applyNumberFormat="1" applyFont="1"/>
    <xf numFmtId="170" fontId="5" fillId="0" borderId="4" xfId="3" applyNumberFormat="1" applyFont="1" applyBorder="1"/>
    <xf numFmtId="170" fontId="5" fillId="0" borderId="1" xfId="3" applyNumberFormat="1" applyFont="1" applyBorder="1"/>
    <xf numFmtId="170" fontId="5" fillId="0" borderId="0" xfId="0" applyNumberFormat="1" applyFont="1"/>
    <xf numFmtId="170" fontId="5" fillId="0" borderId="4" xfId="0" applyNumberFormat="1" applyFont="1" applyBorder="1"/>
    <xf numFmtId="0" fontId="6" fillId="0" borderId="0" xfId="0" applyFont="1"/>
    <xf numFmtId="170" fontId="6" fillId="0" borderId="0" xfId="0" applyNumberFormat="1" applyFont="1"/>
    <xf numFmtId="168" fontId="5" fillId="0" borderId="0" xfId="0" applyNumberFormat="1" applyFont="1"/>
    <xf numFmtId="168" fontId="5" fillId="0" borderId="4" xfId="0" applyNumberFormat="1" applyFont="1" applyBorder="1"/>
    <xf numFmtId="0" fontId="7" fillId="0" borderId="0" xfId="0" applyFont="1"/>
    <xf numFmtId="169" fontId="5" fillId="0" borderId="0" xfId="1" applyNumberFormat="1" applyFont="1" applyAlignment="1">
      <alignment horizontal="right"/>
    </xf>
    <xf numFmtId="169" fontId="5" fillId="0" borderId="0" xfId="1" applyNumberFormat="1" applyFont="1"/>
    <xf numFmtId="169" fontId="5" fillId="0" borderId="4" xfId="1" applyNumberFormat="1" applyFont="1" applyBorder="1"/>
    <xf numFmtId="168" fontId="5" fillId="0" borderId="0" xfId="0" applyNumberFormat="1" applyFont="1" applyAlignment="1">
      <alignment horizontal="right"/>
    </xf>
    <xf numFmtId="10" fontId="5" fillId="0" borderId="0" xfId="1" applyNumberFormat="1" applyFont="1"/>
    <xf numFmtId="10" fontId="5" fillId="0" borderId="4" xfId="1" applyNumberFormat="1" applyFont="1" applyBorder="1"/>
    <xf numFmtId="170" fontId="6" fillId="0" borderId="7" xfId="0" applyNumberFormat="1" applyFont="1" applyBorder="1"/>
    <xf numFmtId="171" fontId="3" fillId="0" borderId="0" xfId="2" applyNumberFormat="1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166" fontId="3" fillId="0" borderId="0" xfId="0" applyNumberFormat="1" applyFont="1"/>
    <xf numFmtId="10" fontId="2" fillId="0" borderId="0" xfId="1" applyNumberFormat="1" applyFont="1"/>
    <xf numFmtId="0" fontId="2" fillId="0" borderId="1" xfId="0" applyFont="1" applyBorder="1" applyAlignment="1">
      <alignment horizontal="center"/>
    </xf>
    <xf numFmtId="172" fontId="2" fillId="0" borderId="0" xfId="2" applyNumberFormat="1" applyFont="1"/>
    <xf numFmtId="0" fontId="5" fillId="0" borderId="0" xfId="0" applyFont="1" applyAlignment="1">
      <alignment wrapText="1"/>
    </xf>
    <xf numFmtId="165" fontId="5" fillId="0" borderId="4" xfId="0" applyNumberFormat="1" applyFont="1" applyBorder="1"/>
    <xf numFmtId="0" fontId="5" fillId="0" borderId="1" xfId="0" applyFont="1" applyBorder="1" applyAlignment="1">
      <alignment wrapText="1"/>
    </xf>
    <xf numFmtId="0" fontId="2" fillId="0" borderId="1" xfId="0" applyFont="1" applyBorder="1"/>
    <xf numFmtId="0" fontId="9" fillId="0" borderId="0" xfId="0" applyFont="1"/>
    <xf numFmtId="0" fontId="3" fillId="0" borderId="8" xfId="0" applyFont="1" applyBorder="1"/>
    <xf numFmtId="0" fontId="3" fillId="0" borderId="6" xfId="0" applyFont="1" applyBorder="1"/>
    <xf numFmtId="164" fontId="2" fillId="0" borderId="0" xfId="0" applyNumberFormat="1" applyFont="1"/>
    <xf numFmtId="0" fontId="10" fillId="0" borderId="0" xfId="0" applyFont="1"/>
    <xf numFmtId="0" fontId="3" fillId="0" borderId="9" xfId="0" applyFont="1" applyBorder="1"/>
    <xf numFmtId="169" fontId="3" fillId="0" borderId="10" xfId="1" applyNumberFormat="1" applyFont="1" applyBorder="1"/>
    <xf numFmtId="0" fontId="2" fillId="2" borderId="0" xfId="0" applyFont="1" applyFill="1"/>
    <xf numFmtId="166" fontId="2" fillId="2" borderId="0" xfId="0" applyNumberFormat="1" applyFont="1" applyFill="1"/>
    <xf numFmtId="0" fontId="2" fillId="0" borderId="0" xfId="0" applyFont="1" applyAlignment="1">
      <alignment horizontal="left"/>
    </xf>
    <xf numFmtId="1" fontId="2" fillId="0" borderId="0" xfId="0" applyNumberFormat="1" applyFont="1"/>
    <xf numFmtId="165" fontId="5" fillId="0" borderId="5" xfId="3" applyNumberFormat="1" applyFont="1" applyBorder="1"/>
    <xf numFmtId="170" fontId="6" fillId="0" borderId="0" xfId="3" applyNumberFormat="1" applyFont="1"/>
    <xf numFmtId="170" fontId="6" fillId="0" borderId="4" xfId="3" applyNumberFormat="1" applyFont="1" applyBorder="1"/>
    <xf numFmtId="172" fontId="2" fillId="0" borderId="0" xfId="2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0" fontId="2" fillId="0" borderId="0" xfId="1" applyNumberFormat="1" applyFont="1" applyAlignment="1">
      <alignment horizontal="center"/>
    </xf>
    <xf numFmtId="171" fontId="3" fillId="0" borderId="7" xfId="2" applyNumberFormat="1" applyFont="1" applyBorder="1" applyAlignment="1">
      <alignment horizontal="center"/>
    </xf>
    <xf numFmtId="171" fontId="2" fillId="0" borderId="0" xfId="2" applyNumberFormat="1" applyFont="1" applyAlignment="1">
      <alignment horizontal="center"/>
    </xf>
    <xf numFmtId="171" fontId="3" fillId="0" borderId="0" xfId="2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43" fontId="0" fillId="0" borderId="0" xfId="0" applyNumberFormat="1"/>
    <xf numFmtId="11" fontId="2" fillId="0" borderId="0" xfId="0" applyNumberFormat="1" applyFont="1"/>
    <xf numFmtId="3" fontId="0" fillId="0" borderId="0" xfId="0" applyNumberFormat="1"/>
    <xf numFmtId="10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/>
    </xf>
  </cellXfs>
  <cellStyles count="5">
    <cellStyle name="Comma" xfId="2" builtinId="3"/>
    <cellStyle name="Currency" xfId="3" builtinId="4"/>
    <cellStyle name="Normal" xfId="0" builtinId="0"/>
    <cellStyle name="Normal 2 2" xfId="4" xr:uid="{00000000-0005-0000-0000-000003000000}"/>
    <cellStyle name="Percent" xfId="1" builtinId="5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35C4-1B43-8140-B478-5E253DC8B240}">
  <dimension ref="A1:F43"/>
  <sheetViews>
    <sheetView tabSelected="1" topLeftCell="A15" zoomScale="140" zoomScaleNormal="85" workbookViewId="0">
      <selection activeCell="B19" sqref="B19"/>
    </sheetView>
  </sheetViews>
  <sheetFormatPr defaultColWidth="8.77734375" defaultRowHeight="10.199999999999999" x14ac:dyDescent="0.2"/>
  <cols>
    <col min="1" max="1" width="26.44140625" style="1" bestFit="1" customWidth="1"/>
    <col min="2" max="2" width="14.44140625" style="1" customWidth="1"/>
    <col min="3" max="3" width="21.33203125" style="1" bestFit="1" customWidth="1"/>
    <col min="4" max="6" width="13" style="1" customWidth="1"/>
    <col min="7" max="7" width="11.33203125" style="1" bestFit="1" customWidth="1"/>
    <col min="8" max="8" width="11.44140625" style="1" bestFit="1" customWidth="1"/>
    <col min="9" max="16384" width="8.77734375" style="1"/>
  </cols>
  <sheetData>
    <row r="1" spans="1:6" x14ac:dyDescent="0.2">
      <c r="A1" s="69" t="s">
        <v>29</v>
      </c>
      <c r="B1" s="69"/>
    </row>
    <row r="2" spans="1:6" x14ac:dyDescent="0.2">
      <c r="B2" s="32" t="s">
        <v>30</v>
      </c>
    </row>
    <row r="3" spans="1:6" x14ac:dyDescent="0.2">
      <c r="A3" s="1" t="s">
        <v>38</v>
      </c>
      <c r="B3" s="52">
        <v>100</v>
      </c>
      <c r="C3" s="51" t="s">
        <v>60</v>
      </c>
    </row>
    <row r="4" spans="1:6" x14ac:dyDescent="0.2">
      <c r="A4" s="49" t="s">
        <v>36</v>
      </c>
      <c r="B4" s="50">
        <v>80</v>
      </c>
    </row>
    <row r="5" spans="1:6" x14ac:dyDescent="0.2">
      <c r="A5" s="1" t="s">
        <v>37</v>
      </c>
      <c r="B5" s="56">
        <f xml:space="preserve"> B3* 365</f>
        <v>36500</v>
      </c>
    </row>
    <row r="6" spans="1:6" x14ac:dyDescent="0.2">
      <c r="B6" s="57"/>
    </row>
    <row r="7" spans="1:6" x14ac:dyDescent="0.2">
      <c r="A7" s="5" t="s">
        <v>59</v>
      </c>
      <c r="B7" s="58">
        <f>B5*B4</f>
        <v>2920000</v>
      </c>
    </row>
    <row r="8" spans="1:6" x14ac:dyDescent="0.2">
      <c r="A8" s="49" t="s">
        <v>31</v>
      </c>
      <c r="B8" s="50">
        <v>310600</v>
      </c>
    </row>
    <row r="9" spans="1:6" x14ac:dyDescent="0.2">
      <c r="A9" s="49" t="s">
        <v>32</v>
      </c>
      <c r="B9" s="50">
        <v>38644</v>
      </c>
    </row>
    <row r="10" spans="1:6" x14ac:dyDescent="0.2">
      <c r="A10" s="49" t="s">
        <v>33</v>
      </c>
      <c r="B10" s="50">
        <v>594750</v>
      </c>
    </row>
    <row r="11" spans="1:6" x14ac:dyDescent="0.2">
      <c r="A11" s="1" t="s">
        <v>34</v>
      </c>
      <c r="B11" s="57">
        <f>0.5*B7</f>
        <v>1460000</v>
      </c>
    </row>
    <row r="12" spans="1:6" x14ac:dyDescent="0.2">
      <c r="A12" s="5" t="s">
        <v>35</v>
      </c>
      <c r="B12" s="58">
        <f>B8+B9+B10+B11</f>
        <v>2403994</v>
      </c>
      <c r="F12" s="45"/>
    </row>
    <row r="13" spans="1:6" s="5" customFormat="1" ht="10.8" thickBot="1" x14ac:dyDescent="0.25">
      <c r="A13" s="5" t="s">
        <v>40</v>
      </c>
      <c r="B13" s="58">
        <f>B7-B12</f>
        <v>516006</v>
      </c>
    </row>
    <row r="14" spans="1:6" ht="10.8" thickBot="1" x14ac:dyDescent="0.25">
      <c r="A14" s="41" t="s">
        <v>41</v>
      </c>
      <c r="B14" s="59">
        <f>B13/B7</f>
        <v>0.17671438356164385</v>
      </c>
      <c r="D14" s="47" t="s">
        <v>58</v>
      </c>
      <c r="E14" s="48">
        <v>0.1</v>
      </c>
      <c r="F14" s="1" t="s">
        <v>61</v>
      </c>
    </row>
    <row r="16" spans="1:6" x14ac:dyDescent="0.2">
      <c r="A16" s="41"/>
      <c r="B16" s="36" t="s">
        <v>42</v>
      </c>
      <c r="C16" s="36" t="s">
        <v>43</v>
      </c>
      <c r="D16" s="36" t="s">
        <v>44</v>
      </c>
      <c r="E16" s="36" t="s">
        <v>45</v>
      </c>
      <c r="F16" s="36" t="s">
        <v>46</v>
      </c>
    </row>
    <row r="17" spans="1:6" x14ac:dyDescent="0.2">
      <c r="A17" s="5" t="s">
        <v>38</v>
      </c>
      <c r="B17" s="31">
        <f>B3</f>
        <v>100</v>
      </c>
      <c r="C17" s="31">
        <f>B17*1.1</f>
        <v>110.00000000000001</v>
      </c>
      <c r="D17" s="31">
        <f>C17*1.1</f>
        <v>121.00000000000003</v>
      </c>
      <c r="E17" s="31">
        <f t="shared" ref="E17:F17" si="0">D17*1.1</f>
        <v>133.10000000000005</v>
      </c>
      <c r="F17" s="31">
        <f t="shared" si="0"/>
        <v>146.41000000000008</v>
      </c>
    </row>
    <row r="18" spans="1:6" x14ac:dyDescent="0.2">
      <c r="A18" s="1" t="s">
        <v>36</v>
      </c>
      <c r="B18" s="33">
        <v>80</v>
      </c>
      <c r="C18" s="33">
        <v>80</v>
      </c>
      <c r="D18" s="33">
        <v>80</v>
      </c>
      <c r="E18" s="33">
        <v>80</v>
      </c>
      <c r="F18" s="33">
        <v>80</v>
      </c>
    </row>
    <row r="19" spans="1:6" s="5" customFormat="1" x14ac:dyDescent="0.2">
      <c r="A19" s="1" t="s">
        <v>37</v>
      </c>
      <c r="B19" s="56">
        <f>B5</f>
        <v>36500</v>
      </c>
      <c r="C19" s="37">
        <f>B19*(1+0.1)</f>
        <v>40150</v>
      </c>
      <c r="D19" s="37">
        <f t="shared" ref="D19:F19" si="1">C19*(1+0.1)</f>
        <v>44165</v>
      </c>
      <c r="E19" s="37">
        <f t="shared" si="1"/>
        <v>48581.500000000007</v>
      </c>
      <c r="F19" s="37">
        <f t="shared" si="1"/>
        <v>53439.650000000009</v>
      </c>
    </row>
    <row r="20" spans="1:6" s="5" customFormat="1" x14ac:dyDescent="0.2">
      <c r="A20" s="1"/>
      <c r="B20" s="37"/>
      <c r="C20" s="37"/>
      <c r="D20" s="37"/>
      <c r="E20" s="37"/>
      <c r="F20" s="37"/>
    </row>
    <row r="21" spans="1:6" x14ac:dyDescent="0.2">
      <c r="A21" s="5" t="s">
        <v>39</v>
      </c>
      <c r="B21" s="34">
        <f>B18*B19</f>
        <v>2920000</v>
      </c>
      <c r="C21" s="34">
        <f t="shared" ref="C21:F21" si="2">C18*C19</f>
        <v>3212000</v>
      </c>
      <c r="D21" s="34">
        <f t="shared" si="2"/>
        <v>3533200</v>
      </c>
      <c r="E21" s="34">
        <f t="shared" si="2"/>
        <v>3886520.0000000005</v>
      </c>
      <c r="F21" s="34">
        <f t="shared" si="2"/>
        <v>4275172.0000000009</v>
      </c>
    </row>
    <row r="22" spans="1:6" x14ac:dyDescent="0.2">
      <c r="A22" s="1" t="s">
        <v>47</v>
      </c>
      <c r="B22" s="33">
        <f t="shared" ref="B22:B24" si="3">B8</f>
        <v>310600</v>
      </c>
      <c r="C22" s="33">
        <f>B22*(1+3/100)</f>
        <v>319918</v>
      </c>
      <c r="D22" s="33">
        <f t="shared" ref="D22:F22" si="4">C22*(1+3/100)</f>
        <v>329515.54000000004</v>
      </c>
      <c r="E22" s="33">
        <f t="shared" si="4"/>
        <v>339401.00620000006</v>
      </c>
      <c r="F22" s="33">
        <f t="shared" si="4"/>
        <v>349583.03638600005</v>
      </c>
    </row>
    <row r="23" spans="1:6" x14ac:dyDescent="0.2">
      <c r="A23" s="1" t="s">
        <v>52</v>
      </c>
      <c r="B23" s="33">
        <f t="shared" si="3"/>
        <v>38644</v>
      </c>
      <c r="C23" s="33">
        <f>B23*(1+3/100)</f>
        <v>39803.32</v>
      </c>
      <c r="D23" s="33">
        <f t="shared" ref="D23:F23" si="5">C23*(1+3/100)</f>
        <v>40997.419600000001</v>
      </c>
      <c r="E23" s="33">
        <f t="shared" si="5"/>
        <v>42227.342188000002</v>
      </c>
      <c r="F23" s="33">
        <f t="shared" si="5"/>
        <v>43494.162453640005</v>
      </c>
    </row>
    <row r="24" spans="1:6" x14ac:dyDescent="0.2">
      <c r="A24" s="13" t="s">
        <v>53</v>
      </c>
      <c r="B24" s="33">
        <f t="shared" si="3"/>
        <v>594750</v>
      </c>
      <c r="C24" s="33">
        <f>B24*(1+5/100)</f>
        <v>624487.5</v>
      </c>
      <c r="D24" s="33">
        <f t="shared" ref="D24:F24" si="6">C24*(1+5/100)</f>
        <v>655711.875</v>
      </c>
      <c r="E24" s="33">
        <f t="shared" si="6"/>
        <v>688497.46875</v>
      </c>
      <c r="F24" s="33">
        <f t="shared" si="6"/>
        <v>722922.34218749998</v>
      </c>
    </row>
    <row r="25" spans="1:6" x14ac:dyDescent="0.2">
      <c r="A25" s="1" t="s">
        <v>34</v>
      </c>
      <c r="B25" s="57">
        <f>0.5*B21</f>
        <v>1460000</v>
      </c>
      <c r="C25" s="57">
        <f t="shared" ref="C25:F25" si="7">0.5*C21</f>
        <v>1606000</v>
      </c>
      <c r="D25" s="57">
        <f t="shared" si="7"/>
        <v>1766600</v>
      </c>
      <c r="E25" s="57">
        <f t="shared" si="7"/>
        <v>1943260.0000000002</v>
      </c>
      <c r="F25" s="57">
        <f t="shared" si="7"/>
        <v>2137586.0000000005</v>
      </c>
    </row>
    <row r="26" spans="1:6" x14ac:dyDescent="0.2">
      <c r="A26" s="5" t="s">
        <v>35</v>
      </c>
      <c r="B26" s="58">
        <f>B22+B23+B24+B25</f>
        <v>2403994</v>
      </c>
      <c r="C26" s="58">
        <f t="shared" ref="C26:F26" si="8">C22+C23+C24+C25</f>
        <v>2590208.8200000003</v>
      </c>
      <c r="D26" s="58">
        <f t="shared" si="8"/>
        <v>2792824.8346000002</v>
      </c>
      <c r="E26" s="58">
        <f t="shared" si="8"/>
        <v>3013385.8171380004</v>
      </c>
      <c r="F26" s="58">
        <f t="shared" si="8"/>
        <v>3253585.5410271408</v>
      </c>
    </row>
    <row r="27" spans="1:6" x14ac:dyDescent="0.2">
      <c r="B27" s="57"/>
      <c r="C27" s="33"/>
      <c r="D27" s="33"/>
      <c r="E27" s="33"/>
      <c r="F27" s="33"/>
    </row>
    <row r="28" spans="1:6" s="5" customFormat="1" x14ac:dyDescent="0.2">
      <c r="A28" s="5" t="s">
        <v>40</v>
      </c>
      <c r="B28" s="58">
        <f>B21-B26</f>
        <v>516006</v>
      </c>
      <c r="C28" s="58">
        <f t="shared" ref="C28:F28" si="9">C21-C26</f>
        <v>621791.1799999997</v>
      </c>
      <c r="D28" s="58">
        <f t="shared" si="9"/>
        <v>740375.16539999982</v>
      </c>
      <c r="E28" s="58">
        <f t="shared" si="9"/>
        <v>873134.18286200007</v>
      </c>
      <c r="F28" s="58">
        <f t="shared" si="9"/>
        <v>1021586.4589728601</v>
      </c>
    </row>
    <row r="29" spans="1:6" s="5" customFormat="1" x14ac:dyDescent="0.2">
      <c r="A29" s="1" t="s">
        <v>41</v>
      </c>
      <c r="B29" s="60">
        <f>B28/B21</f>
        <v>0.17671438356164385</v>
      </c>
      <c r="C29" s="60">
        <f t="shared" ref="C29:F29" si="10">C28/C21</f>
        <v>0.19358380448318796</v>
      </c>
      <c r="D29" s="60">
        <f t="shared" si="10"/>
        <v>0.20954804862447635</v>
      </c>
      <c r="E29" s="60">
        <f t="shared" si="10"/>
        <v>0.22465706669771415</v>
      </c>
      <c r="F29" s="60">
        <f t="shared" si="10"/>
        <v>0.23895797852644524</v>
      </c>
    </row>
    <row r="30" spans="1:6" ht="14.4" x14ac:dyDescent="0.3">
      <c r="A30" s="40" t="s">
        <v>48</v>
      </c>
      <c r="B30" s="65">
        <f>1000000-B28</f>
        <v>483994</v>
      </c>
      <c r="C30" s="65">
        <f t="shared" ref="C30:F30" si="11">1000000-C28</f>
        <v>378208.8200000003</v>
      </c>
      <c r="D30" s="65">
        <f t="shared" si="11"/>
        <v>259624.83460000018</v>
      </c>
      <c r="E30" s="65">
        <f t="shared" si="11"/>
        <v>126865.81713799993</v>
      </c>
      <c r="F30" s="65">
        <f t="shared" si="11"/>
        <v>-21586.458972860128</v>
      </c>
    </row>
    <row r="31" spans="1:6" x14ac:dyDescent="0.2">
      <c r="B31" s="33"/>
      <c r="C31" s="33"/>
      <c r="D31" s="33"/>
      <c r="E31" s="33"/>
      <c r="F31" s="33"/>
    </row>
    <row r="32" spans="1:6" x14ac:dyDescent="0.2">
      <c r="B32" s="33"/>
      <c r="C32" s="33"/>
      <c r="D32" s="33"/>
      <c r="E32" s="33"/>
      <c r="F32" s="33"/>
    </row>
    <row r="33" spans="1:6" x14ac:dyDescent="0.2">
      <c r="A33" s="13"/>
      <c r="B33" s="33"/>
      <c r="C33" s="33"/>
      <c r="D33" s="33"/>
      <c r="E33" s="33"/>
      <c r="F33" s="33"/>
    </row>
    <row r="34" spans="1:6" x14ac:dyDescent="0.2">
      <c r="B34" s="33"/>
      <c r="C34" s="33"/>
      <c r="D34" s="33"/>
      <c r="E34" s="33"/>
      <c r="F34" s="33"/>
    </row>
    <row r="35" spans="1:6" x14ac:dyDescent="0.2">
      <c r="A35" s="5"/>
      <c r="B35" s="34"/>
      <c r="C35" s="34"/>
      <c r="D35" s="34"/>
      <c r="E35" s="34"/>
      <c r="F35" s="34"/>
    </row>
    <row r="36" spans="1:6" x14ac:dyDescent="0.2">
      <c r="A36" s="5"/>
      <c r="B36" s="34"/>
      <c r="C36" s="34"/>
      <c r="D36" s="34"/>
      <c r="E36" s="34"/>
      <c r="F36" s="34"/>
    </row>
    <row r="37" spans="1:6" x14ac:dyDescent="0.2">
      <c r="B37" s="33"/>
      <c r="C37" s="33"/>
      <c r="D37" s="33"/>
      <c r="E37" s="33"/>
      <c r="F37" s="33"/>
    </row>
    <row r="38" spans="1:6" s="5" customFormat="1" x14ac:dyDescent="0.2">
      <c r="A38" s="1"/>
      <c r="B38" s="37"/>
      <c r="C38" s="37"/>
      <c r="D38" s="37"/>
      <c r="E38" s="37"/>
      <c r="F38" s="37"/>
    </row>
    <row r="39" spans="1:6" x14ac:dyDescent="0.2">
      <c r="B39" s="37"/>
      <c r="C39" s="37"/>
      <c r="D39" s="37"/>
      <c r="E39" s="37"/>
      <c r="F39" s="37"/>
    </row>
    <row r="40" spans="1:6" x14ac:dyDescent="0.2">
      <c r="B40" s="33"/>
      <c r="C40" s="33"/>
      <c r="D40" s="33"/>
      <c r="E40" s="33"/>
      <c r="F40" s="33"/>
    </row>
    <row r="41" spans="1:6" s="5" customFormat="1" x14ac:dyDescent="0.2">
      <c r="B41" s="34"/>
      <c r="C41" s="34"/>
      <c r="D41" s="34"/>
      <c r="E41" s="34"/>
      <c r="F41" s="34"/>
    </row>
    <row r="42" spans="1:6" s="5" customFormat="1" x14ac:dyDescent="0.2">
      <c r="A42" s="1"/>
      <c r="B42" s="35"/>
      <c r="C42" s="35"/>
      <c r="D42" s="35"/>
      <c r="E42" s="35"/>
      <c r="F42" s="35"/>
    </row>
    <row r="43" spans="1:6" x14ac:dyDescent="0.2">
      <c r="A43" s="38"/>
      <c r="B43" s="33"/>
      <c r="C43" s="33"/>
      <c r="D43" s="33"/>
      <c r="E43" s="33"/>
      <c r="F43" s="33"/>
    </row>
  </sheetData>
  <mergeCells count="1">
    <mergeCell ref="A1:B1"/>
  </mergeCells>
  <conditionalFormatting sqref="B43:F43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2"/>
  <sheetViews>
    <sheetView topLeftCell="A17" zoomScale="150" zoomScaleNormal="150" zoomScalePageLayoutView="90" workbookViewId="0">
      <selection activeCell="A34" sqref="A34"/>
    </sheetView>
  </sheetViews>
  <sheetFormatPr defaultColWidth="8.77734375" defaultRowHeight="10.199999999999999" x14ac:dyDescent="0.2"/>
  <cols>
    <col min="1" max="1" width="32.33203125" style="1" bestFit="1" customWidth="1"/>
    <col min="2" max="2" width="9.6640625" style="1" bestFit="1" customWidth="1"/>
    <col min="3" max="4" width="10" style="1" bestFit="1" customWidth="1"/>
    <col min="5" max="10" width="8.77734375" style="1"/>
    <col min="11" max="11" width="24.6640625" style="1" bestFit="1" customWidth="1"/>
    <col min="12" max="12" width="10.6640625" style="1" bestFit="1" customWidth="1"/>
    <col min="13" max="16384" width="8.77734375" style="1"/>
  </cols>
  <sheetData>
    <row r="1" spans="1:16" x14ac:dyDescent="0.2">
      <c r="B1" s="69" t="s">
        <v>0</v>
      </c>
      <c r="C1" s="69"/>
      <c r="D1" s="69"/>
      <c r="E1" s="69" t="s">
        <v>1</v>
      </c>
      <c r="F1" s="69"/>
      <c r="G1" s="69"/>
      <c r="H1" s="69"/>
      <c r="I1" s="69"/>
      <c r="K1" s="9"/>
    </row>
    <row r="2" spans="1:16" x14ac:dyDescent="0.2">
      <c r="B2" s="2">
        <v>2012</v>
      </c>
      <c r="C2" s="2">
        <v>2013</v>
      </c>
      <c r="D2" s="3">
        <v>2014</v>
      </c>
      <c r="E2" s="2">
        <v>2015</v>
      </c>
      <c r="F2" s="2">
        <v>2016</v>
      </c>
      <c r="G2" s="2">
        <v>2017</v>
      </c>
      <c r="H2" s="2">
        <v>2018</v>
      </c>
      <c r="I2" s="2">
        <v>2019</v>
      </c>
    </row>
    <row r="3" spans="1:16" x14ac:dyDescent="0.2">
      <c r="A3" s="13" t="s">
        <v>2</v>
      </c>
      <c r="B3" s="14">
        <v>4132.5169999999998</v>
      </c>
      <c r="C3" s="14">
        <v>7491.1869999999999</v>
      </c>
      <c r="D3" s="15">
        <v>11000</v>
      </c>
      <c r="E3" s="14">
        <f>D3*(1+E23)</f>
        <v>13200</v>
      </c>
      <c r="F3" s="14">
        <f t="shared" ref="F3:I3" si="0">E3*(1+F23)</f>
        <v>18480</v>
      </c>
      <c r="G3" s="14">
        <f t="shared" si="0"/>
        <v>23100</v>
      </c>
      <c r="H3" s="14">
        <f t="shared" si="0"/>
        <v>28875</v>
      </c>
      <c r="I3" s="14">
        <f t="shared" si="0"/>
        <v>36093.75</v>
      </c>
      <c r="J3" s="6"/>
    </row>
    <row r="4" spans="1:16" x14ac:dyDescent="0.2">
      <c r="A4" s="13" t="s">
        <v>3</v>
      </c>
      <c r="B4" s="16">
        <v>1303.4159999999999</v>
      </c>
      <c r="C4" s="16">
        <v>1632.722</v>
      </c>
      <c r="D4" s="53">
        <f>D3*D24</f>
        <v>2397.476127615023</v>
      </c>
      <c r="E4" s="53">
        <f t="shared" ref="E4:I4" si="1">E3*E24</f>
        <v>2877.6</v>
      </c>
      <c r="F4" s="53">
        <f t="shared" si="1"/>
        <v>4028.64</v>
      </c>
      <c r="G4" s="53">
        <f t="shared" si="1"/>
        <v>5035.8</v>
      </c>
      <c r="H4" s="53">
        <f t="shared" si="1"/>
        <v>6294.75</v>
      </c>
      <c r="I4" s="53">
        <f t="shared" si="1"/>
        <v>7868.4375</v>
      </c>
      <c r="L4" s="7"/>
    </row>
    <row r="5" spans="1:16" s="5" customFormat="1" x14ac:dyDescent="0.2">
      <c r="A5" s="19" t="s">
        <v>4</v>
      </c>
      <c r="B5" s="54">
        <f>B3-B4</f>
        <v>2829.1009999999997</v>
      </c>
      <c r="C5" s="54">
        <f t="shared" ref="C5" si="2">C3-C4</f>
        <v>5858.4650000000001</v>
      </c>
      <c r="D5" s="55">
        <f>D3-D4</f>
        <v>8602.5238723849761</v>
      </c>
      <c r="E5" s="55">
        <f t="shared" ref="E5:I5" si="3">E3-E4</f>
        <v>10322.4</v>
      </c>
      <c r="F5" s="55">
        <f t="shared" si="3"/>
        <v>14451.36</v>
      </c>
      <c r="G5" s="55">
        <f t="shared" si="3"/>
        <v>18064.2</v>
      </c>
      <c r="H5" s="55">
        <f t="shared" si="3"/>
        <v>22580.25</v>
      </c>
      <c r="I5" s="55">
        <f t="shared" si="3"/>
        <v>28225.3125</v>
      </c>
    </row>
    <row r="6" spans="1:16" x14ac:dyDescent="0.2">
      <c r="A6" s="13"/>
      <c r="B6" s="17"/>
      <c r="C6" s="17"/>
      <c r="D6" s="18"/>
      <c r="E6" s="17"/>
      <c r="F6" s="17"/>
      <c r="G6" s="17"/>
      <c r="H6" s="17"/>
      <c r="I6" s="17"/>
    </row>
    <row r="7" spans="1:16" x14ac:dyDescent="0.2">
      <c r="A7" s="13" t="s">
        <v>5</v>
      </c>
      <c r="B7" s="17">
        <v>2449.1999999999998</v>
      </c>
      <c r="C7" s="17">
        <v>4342.5</v>
      </c>
      <c r="D7" s="18">
        <f>D3*D25</f>
        <v>6376.4928041443909</v>
      </c>
      <c r="E7" s="18">
        <f t="shared" ref="E7:I7" si="4">E3*E25</f>
        <v>7519.7913649732682</v>
      </c>
      <c r="F7" s="18">
        <f t="shared" si="4"/>
        <v>10342.907910962576</v>
      </c>
      <c r="G7" s="18">
        <f t="shared" si="4"/>
        <v>12697.63488870322</v>
      </c>
      <c r="H7" s="18">
        <f t="shared" si="4"/>
        <v>15583.293610879024</v>
      </c>
      <c r="I7" s="18">
        <f t="shared" si="4"/>
        <v>19118.179513598781</v>
      </c>
    </row>
    <row r="8" spans="1:16" x14ac:dyDescent="0.2">
      <c r="A8" s="13" t="s">
        <v>6</v>
      </c>
      <c r="B8" s="11">
        <f>B3*B26</f>
        <v>0</v>
      </c>
      <c r="C8" s="11">
        <f>C3*C26</f>
        <v>0</v>
      </c>
      <c r="D8" s="12">
        <f>D3*D26</f>
        <v>0</v>
      </c>
      <c r="E8" s="12">
        <f t="shared" ref="E8:I8" si="5">E3*E26</f>
        <v>13.200000000000001</v>
      </c>
      <c r="F8" s="12">
        <f t="shared" si="5"/>
        <v>18.48</v>
      </c>
      <c r="G8" s="12">
        <f t="shared" si="5"/>
        <v>23.1</v>
      </c>
      <c r="H8" s="12">
        <f t="shared" si="5"/>
        <v>28.875</v>
      </c>
      <c r="I8" s="12">
        <f t="shared" si="5"/>
        <v>36.09375</v>
      </c>
      <c r="M8" s="7"/>
      <c r="N8" s="7"/>
      <c r="O8" s="7"/>
      <c r="P8" s="7"/>
    </row>
    <row r="9" spans="1:16" s="5" customFormat="1" x14ac:dyDescent="0.2">
      <c r="A9" s="19" t="s">
        <v>7</v>
      </c>
      <c r="B9" s="20">
        <f>B5-B7-B8</f>
        <v>379.90099999999984</v>
      </c>
      <c r="C9" s="20">
        <f>C5-C7-C8</f>
        <v>1515.9650000000001</v>
      </c>
      <c r="D9" s="30">
        <f>D5-D7-D8</f>
        <v>2226.0310682405852</v>
      </c>
      <c r="E9" s="30">
        <f t="shared" ref="E9:I9" si="6">E5-E7-E8</f>
        <v>2789.4086350267316</v>
      </c>
      <c r="F9" s="30">
        <f t="shared" si="6"/>
        <v>4089.9720890374242</v>
      </c>
      <c r="G9" s="30">
        <f t="shared" si="6"/>
        <v>5343.4651112967804</v>
      </c>
      <c r="H9" s="30">
        <f t="shared" si="6"/>
        <v>6968.0813891209764</v>
      </c>
      <c r="I9" s="30">
        <f t="shared" si="6"/>
        <v>9071.0392364012187</v>
      </c>
      <c r="M9" s="8"/>
    </row>
    <row r="10" spans="1:16" x14ac:dyDescent="0.2">
      <c r="A10" s="13" t="s">
        <v>8</v>
      </c>
      <c r="B10" s="28">
        <f>B9/B3</f>
        <v>9.1929688371517854E-2</v>
      </c>
      <c r="C10" s="28">
        <f>C9/C3</f>
        <v>0.20236646074914433</v>
      </c>
      <c r="D10" s="29">
        <f>D9/D3</f>
        <v>0.20236646074914411</v>
      </c>
      <c r="E10" s="29">
        <f t="shared" ref="E10:I10" si="7">E9/E3</f>
        <v>0.21131883598687362</v>
      </c>
      <c r="F10" s="29">
        <f t="shared" si="7"/>
        <v>0.2213188359868736</v>
      </c>
      <c r="G10" s="29">
        <f t="shared" si="7"/>
        <v>0.23131883598687361</v>
      </c>
      <c r="H10" s="29">
        <f t="shared" si="7"/>
        <v>0.24131883598687365</v>
      </c>
      <c r="I10" s="29">
        <f t="shared" si="7"/>
        <v>0.2513188359868736</v>
      </c>
      <c r="M10" s="8"/>
    </row>
    <row r="11" spans="1:16" x14ac:dyDescent="0.2">
      <c r="A11" s="13"/>
      <c r="B11" s="17"/>
      <c r="C11" s="17"/>
      <c r="D11" s="18"/>
      <c r="E11" s="17"/>
      <c r="F11" s="17"/>
      <c r="G11" s="17"/>
      <c r="H11" s="17"/>
      <c r="I11" s="17"/>
      <c r="M11" s="8"/>
    </row>
    <row r="12" spans="1:16" x14ac:dyDescent="0.2">
      <c r="A12" s="13" t="s">
        <v>54</v>
      </c>
      <c r="B12" s="17">
        <v>41.8</v>
      </c>
      <c r="C12" s="17">
        <v>149.00700000000001</v>
      </c>
      <c r="D12" s="39">
        <f>D18*D30</f>
        <v>24.75</v>
      </c>
      <c r="E12" s="39">
        <f t="shared" ref="E12:I12" si="8">E18*E30</f>
        <v>800</v>
      </c>
      <c r="F12" s="39">
        <f t="shared" si="8"/>
        <v>850</v>
      </c>
      <c r="G12" s="39">
        <f t="shared" si="8"/>
        <v>900</v>
      </c>
      <c r="H12" s="39">
        <f t="shared" si="8"/>
        <v>950</v>
      </c>
      <c r="I12" s="39">
        <f t="shared" si="8"/>
        <v>1000</v>
      </c>
    </row>
    <row r="13" spans="1:16" x14ac:dyDescent="0.2">
      <c r="A13" s="13" t="s">
        <v>9</v>
      </c>
      <c r="B13" s="17">
        <f>B9-B12</f>
        <v>338.10099999999983</v>
      </c>
      <c r="C13" s="17">
        <f>C9-C12</f>
        <v>1366.9580000000001</v>
      </c>
      <c r="D13" s="18">
        <f>D9-D12</f>
        <v>2201.2810682405852</v>
      </c>
      <c r="E13" s="18">
        <f t="shared" ref="E13:I13" si="9">E9-E12</f>
        <v>1989.4086350267316</v>
      </c>
      <c r="F13" s="18">
        <f t="shared" si="9"/>
        <v>3239.9720890374242</v>
      </c>
      <c r="G13" s="18">
        <f t="shared" si="9"/>
        <v>4443.4651112967804</v>
      </c>
      <c r="H13" s="18">
        <f t="shared" si="9"/>
        <v>6018.0813891209764</v>
      </c>
      <c r="I13" s="18">
        <f t="shared" si="9"/>
        <v>8071.0392364012187</v>
      </c>
      <c r="K13" s="9"/>
      <c r="L13" s="9"/>
    </row>
    <row r="14" spans="1:16" x14ac:dyDescent="0.2">
      <c r="A14" s="13" t="s">
        <v>55</v>
      </c>
      <c r="B14" s="11">
        <v>4.4210000000000003</v>
      </c>
      <c r="C14" s="11">
        <v>74.191000000000003</v>
      </c>
      <c r="D14" s="12">
        <f>D13*0.35</f>
        <v>770.44837388420478</v>
      </c>
      <c r="E14" s="12">
        <f t="shared" ref="E14:I14" si="10">E13*0.35</f>
        <v>696.29302225935601</v>
      </c>
      <c r="F14" s="12">
        <f t="shared" si="10"/>
        <v>1133.9902311630983</v>
      </c>
      <c r="G14" s="12">
        <f t="shared" si="10"/>
        <v>1555.2127889538731</v>
      </c>
      <c r="H14" s="12">
        <f t="shared" si="10"/>
        <v>2106.3284861923416</v>
      </c>
      <c r="I14" s="12">
        <f t="shared" si="10"/>
        <v>2824.8637327404263</v>
      </c>
    </row>
    <row r="15" spans="1:16" x14ac:dyDescent="0.2">
      <c r="A15" s="13" t="s">
        <v>10</v>
      </c>
      <c r="B15" s="17">
        <f t="shared" ref="B15:I15" si="11">B13-B14</f>
        <v>333.67999999999984</v>
      </c>
      <c r="C15" s="17">
        <f t="shared" si="11"/>
        <v>1292.7670000000001</v>
      </c>
      <c r="D15" s="18">
        <f t="shared" si="11"/>
        <v>1430.8326943563804</v>
      </c>
      <c r="E15" s="18">
        <f t="shared" si="11"/>
        <v>1293.1156127673758</v>
      </c>
      <c r="F15" s="18">
        <f t="shared" si="11"/>
        <v>2105.9818578743261</v>
      </c>
      <c r="G15" s="18">
        <f t="shared" si="11"/>
        <v>2888.2523223429071</v>
      </c>
      <c r="H15" s="18">
        <f t="shared" si="11"/>
        <v>3911.7529029286347</v>
      </c>
      <c r="I15" s="18">
        <f t="shared" si="11"/>
        <v>5246.1755036607919</v>
      </c>
    </row>
    <row r="16" spans="1:16" x14ac:dyDescent="0.2">
      <c r="A16" s="13"/>
      <c r="B16" s="17"/>
      <c r="C16" s="17"/>
      <c r="D16" s="18"/>
      <c r="E16" s="17"/>
      <c r="F16" s="17"/>
      <c r="G16" s="17"/>
      <c r="H16" s="17"/>
      <c r="I16" s="17"/>
    </row>
    <row r="17" spans="1:16" x14ac:dyDescent="0.2">
      <c r="A17" s="13" t="s">
        <v>54</v>
      </c>
      <c r="B17" s="17">
        <f>B12</f>
        <v>41.8</v>
      </c>
      <c r="C17" s="17">
        <f t="shared" ref="C17:I17" si="12">C12</f>
        <v>149.00700000000001</v>
      </c>
      <c r="D17" s="18">
        <f t="shared" si="12"/>
        <v>24.75</v>
      </c>
      <c r="E17" s="18">
        <f t="shared" si="12"/>
        <v>800</v>
      </c>
      <c r="F17" s="18">
        <f t="shared" si="12"/>
        <v>850</v>
      </c>
      <c r="G17" s="18">
        <f t="shared" si="12"/>
        <v>900</v>
      </c>
      <c r="H17" s="18">
        <f t="shared" si="12"/>
        <v>950</v>
      </c>
      <c r="I17" s="18">
        <f t="shared" si="12"/>
        <v>1000</v>
      </c>
    </row>
    <row r="18" spans="1:16" x14ac:dyDescent="0.2">
      <c r="A18" s="13" t="s">
        <v>56</v>
      </c>
      <c r="B18" s="17">
        <v>142.19999999999999</v>
      </c>
      <c r="C18" s="17">
        <f>1194.393</f>
        <v>1194.393</v>
      </c>
      <c r="D18" s="18">
        <f>D29*D3</f>
        <v>33</v>
      </c>
      <c r="E18" s="17">
        <v>1000</v>
      </c>
      <c r="F18" s="17">
        <v>1000</v>
      </c>
      <c r="G18" s="17">
        <v>1000</v>
      </c>
      <c r="H18" s="17">
        <v>1000</v>
      </c>
      <c r="I18" s="17">
        <v>1000</v>
      </c>
    </row>
    <row r="19" spans="1:16" x14ac:dyDescent="0.2">
      <c r="A19" s="13" t="s">
        <v>51</v>
      </c>
      <c r="B19" s="11">
        <v>10.8</v>
      </c>
      <c r="C19" s="11">
        <v>271.2</v>
      </c>
      <c r="D19" s="12">
        <v>68</v>
      </c>
      <c r="E19" s="12">
        <v>68</v>
      </c>
      <c r="F19" s="12">
        <v>68</v>
      </c>
      <c r="G19" s="12">
        <v>68</v>
      </c>
      <c r="H19" s="12">
        <v>68</v>
      </c>
      <c r="I19" s="12">
        <v>68</v>
      </c>
      <c r="L19" s="4"/>
      <c r="M19" s="4"/>
      <c r="N19" s="4"/>
      <c r="O19" s="4"/>
      <c r="P19" s="4"/>
    </row>
    <row r="20" spans="1:16" x14ac:dyDescent="0.2">
      <c r="A20" s="19" t="s">
        <v>57</v>
      </c>
      <c r="B20" s="20">
        <f>B15+B17-B18-B19</f>
        <v>222.47999999999985</v>
      </c>
      <c r="C20" s="20">
        <f>C15+C17-C18-C19</f>
        <v>-23.818999999999903</v>
      </c>
      <c r="D20" s="30">
        <f>D15+D17-D18-D19</f>
        <v>1354.5826943563804</v>
      </c>
      <c r="E20" s="30">
        <f t="shared" ref="E20:I20" si="13">E15+E17-E18-E19</f>
        <v>1025.1156127673758</v>
      </c>
      <c r="F20" s="30">
        <f t="shared" si="13"/>
        <v>1887.9818578743261</v>
      </c>
      <c r="G20" s="30">
        <f t="shared" si="13"/>
        <v>2720.2523223429071</v>
      </c>
      <c r="H20" s="30">
        <f t="shared" si="13"/>
        <v>3793.7529029286343</v>
      </c>
      <c r="I20" s="30">
        <f t="shared" si="13"/>
        <v>5178.1755036607919</v>
      </c>
      <c r="L20" s="7"/>
      <c r="M20" s="7"/>
      <c r="N20" s="7"/>
      <c r="O20" s="7"/>
      <c r="P20" s="7"/>
    </row>
    <row r="21" spans="1:16" x14ac:dyDescent="0.2">
      <c r="A21" s="13"/>
      <c r="B21" s="21"/>
      <c r="C21" s="21"/>
      <c r="D21" s="22"/>
      <c r="E21" s="21"/>
      <c r="F21" s="21"/>
      <c r="G21" s="21"/>
      <c r="H21" s="21"/>
      <c r="I21" s="21"/>
      <c r="K21" s="5"/>
      <c r="L21" s="8"/>
    </row>
    <row r="22" spans="1:16" x14ac:dyDescent="0.2">
      <c r="A22" s="23" t="s">
        <v>11</v>
      </c>
      <c r="B22" s="21"/>
      <c r="C22" s="21"/>
      <c r="D22" s="22"/>
      <c r="E22" s="21"/>
      <c r="F22" s="21"/>
      <c r="G22" s="21"/>
      <c r="H22" s="21"/>
      <c r="I22" s="21"/>
      <c r="K22" s="5"/>
      <c r="L22" s="8"/>
    </row>
    <row r="23" spans="1:16" x14ac:dyDescent="0.2">
      <c r="A23" s="13" t="s">
        <v>12</v>
      </c>
      <c r="B23" s="24" t="s">
        <v>19</v>
      </c>
      <c r="C23" s="25">
        <v>0.81299999999999994</v>
      </c>
      <c r="D23" s="26">
        <v>0.46800000000000003</v>
      </c>
      <c r="E23" s="25">
        <v>0.2</v>
      </c>
      <c r="F23" s="25">
        <v>0.4</v>
      </c>
      <c r="G23" s="25">
        <v>0.25</v>
      </c>
      <c r="H23" s="25">
        <v>0.25</v>
      </c>
      <c r="I23" s="25">
        <v>0.25</v>
      </c>
      <c r="J23" s="6"/>
      <c r="K23" s="5"/>
      <c r="L23" s="8"/>
    </row>
    <row r="24" spans="1:16" x14ac:dyDescent="0.2">
      <c r="A24" s="13" t="s">
        <v>13</v>
      </c>
      <c r="B24" s="25">
        <f>B4/B3</f>
        <v>0.31540487310760001</v>
      </c>
      <c r="C24" s="25">
        <f>C4/C3</f>
        <v>0.21795237523772934</v>
      </c>
      <c r="D24" s="26">
        <f>C24</f>
        <v>0.21795237523772934</v>
      </c>
      <c r="E24" s="25">
        <v>0.218</v>
      </c>
      <c r="F24" s="25">
        <v>0.218</v>
      </c>
      <c r="G24" s="25">
        <v>0.218</v>
      </c>
      <c r="H24" s="25">
        <v>0.218</v>
      </c>
      <c r="I24" s="25">
        <v>0.218</v>
      </c>
      <c r="J24" s="6"/>
    </row>
    <row r="25" spans="1:16" x14ac:dyDescent="0.2">
      <c r="A25" s="13" t="s">
        <v>14</v>
      </c>
      <c r="B25" s="25">
        <f>B7/B3</f>
        <v>0.59266543852088205</v>
      </c>
      <c r="C25" s="25">
        <f>C7/C3</f>
        <v>0.57968116401312642</v>
      </c>
      <c r="D25" s="26">
        <f>C25</f>
        <v>0.57968116401312642</v>
      </c>
      <c r="E25" s="25">
        <f>D25-0.01</f>
        <v>0.56968116401312641</v>
      </c>
      <c r="F25" s="25">
        <f>E25-0.01</f>
        <v>0.5596811640131264</v>
      </c>
      <c r="G25" s="25">
        <f t="shared" ref="G25:I25" si="14">F25-0.01</f>
        <v>0.54968116401312639</v>
      </c>
      <c r="H25" s="25">
        <f t="shared" si="14"/>
        <v>0.53968116401312638</v>
      </c>
      <c r="I25" s="25">
        <f t="shared" si="14"/>
        <v>0.52968116401312637</v>
      </c>
      <c r="J25" s="6"/>
      <c r="K25" s="5"/>
      <c r="L25" s="8"/>
    </row>
    <row r="26" spans="1:16" x14ac:dyDescent="0.2">
      <c r="A26" s="13" t="s">
        <v>15</v>
      </c>
      <c r="B26" s="25">
        <v>0</v>
      </c>
      <c r="C26" s="25">
        <v>0</v>
      </c>
      <c r="D26" s="26">
        <v>0</v>
      </c>
      <c r="E26" s="25">
        <v>1E-3</v>
      </c>
      <c r="F26" s="25">
        <v>1E-3</v>
      </c>
      <c r="G26" s="25">
        <v>1E-3</v>
      </c>
      <c r="H26" s="25">
        <v>1E-3</v>
      </c>
      <c r="I26" s="25">
        <v>1E-3</v>
      </c>
      <c r="J26" s="6"/>
    </row>
    <row r="27" spans="1:16" x14ac:dyDescent="0.2">
      <c r="A27" s="13"/>
      <c r="B27" s="21"/>
      <c r="C27" s="21"/>
      <c r="D27" s="22"/>
      <c r="E27" s="21"/>
      <c r="F27" s="21"/>
      <c r="G27" s="21"/>
      <c r="H27" s="21"/>
      <c r="I27" s="21"/>
    </row>
    <row r="28" spans="1:16" x14ac:dyDescent="0.2">
      <c r="A28" s="23" t="s">
        <v>16</v>
      </c>
      <c r="B28" s="21"/>
      <c r="C28" s="21"/>
      <c r="D28" s="22"/>
      <c r="E28" s="21"/>
      <c r="F28" s="21"/>
      <c r="G28" s="21"/>
      <c r="H28" s="21"/>
      <c r="I28" s="21"/>
      <c r="K28" s="5"/>
      <c r="L28" s="8"/>
    </row>
    <row r="29" spans="1:16" x14ac:dyDescent="0.2">
      <c r="A29" s="13" t="s">
        <v>17</v>
      </c>
      <c r="B29" s="24">
        <f>B18/B3</f>
        <v>3.4410021785754301E-2</v>
      </c>
      <c r="C29" s="25">
        <f>C18/C3</f>
        <v>0.15943975233831434</v>
      </c>
      <c r="D29" s="26">
        <v>3.0000000000000001E-3</v>
      </c>
      <c r="E29" s="25">
        <f>E18/E3</f>
        <v>7.575757575757576E-2</v>
      </c>
      <c r="F29" s="25">
        <v>3.0000000000000001E-3</v>
      </c>
      <c r="G29" s="25">
        <v>3.0000000000000001E-3</v>
      </c>
      <c r="H29" s="25">
        <v>3.0000000000000001E-3</v>
      </c>
      <c r="I29" s="25">
        <v>3.0000000000000001E-3</v>
      </c>
    </row>
    <row r="30" spans="1:16" x14ac:dyDescent="0.2">
      <c r="A30" s="13" t="s">
        <v>18</v>
      </c>
      <c r="B30" s="24">
        <f>B12/B18</f>
        <v>0.2939521800281294</v>
      </c>
      <c r="C30" s="25">
        <f>C12/C18</f>
        <v>0.12475541969854144</v>
      </c>
      <c r="D30" s="26">
        <v>0.75</v>
      </c>
      <c r="E30" s="25">
        <v>0.8</v>
      </c>
      <c r="F30" s="25">
        <v>0.85</v>
      </c>
      <c r="G30" s="25">
        <v>0.9</v>
      </c>
      <c r="H30" s="25">
        <v>0.95</v>
      </c>
      <c r="I30" s="25">
        <v>1</v>
      </c>
    </row>
    <row r="31" spans="1:16" x14ac:dyDescent="0.2">
      <c r="A31" s="13" t="s">
        <v>50</v>
      </c>
      <c r="B31" s="27" t="s">
        <v>19</v>
      </c>
      <c r="C31" s="25">
        <f>C19/(C3-B3)</f>
        <v>8.0746247770694946E-2</v>
      </c>
      <c r="D31" s="26">
        <f>D19/(D3-C3)</f>
        <v>1.9379773159755163E-2</v>
      </c>
      <c r="E31" s="25">
        <f>D31</f>
        <v>1.9379773159755163E-2</v>
      </c>
      <c r="F31" s="25">
        <f t="shared" ref="F31:I31" si="15">E31</f>
        <v>1.9379773159755163E-2</v>
      </c>
      <c r="G31" s="25">
        <f t="shared" si="15"/>
        <v>1.9379773159755163E-2</v>
      </c>
      <c r="H31" s="25">
        <f t="shared" si="15"/>
        <v>1.9379773159755163E-2</v>
      </c>
      <c r="I31" s="25">
        <f t="shared" si="15"/>
        <v>1.9379773159755163E-2</v>
      </c>
    </row>
    <row r="32" spans="1:16" x14ac:dyDescent="0.2">
      <c r="A32" s="13"/>
      <c r="B32" s="13"/>
      <c r="C32" s="13"/>
      <c r="D32" s="13"/>
      <c r="E32" s="13"/>
      <c r="F32" s="13"/>
      <c r="G32" s="13"/>
      <c r="H32" s="13"/>
      <c r="I32" s="13"/>
    </row>
    <row r="33" spans="1:1" x14ac:dyDescent="0.2">
      <c r="A33" s="42"/>
    </row>
    <row r="52" spans="3:3" x14ac:dyDescent="0.2">
      <c r="C52" s="4"/>
    </row>
  </sheetData>
  <mergeCells count="2">
    <mergeCell ref="B1:D1"/>
    <mergeCell ref="E1:I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zoomScale="181" workbookViewId="0">
      <selection activeCell="B3" sqref="B3"/>
    </sheetView>
  </sheetViews>
  <sheetFormatPr defaultColWidth="8.77734375" defaultRowHeight="10.199999999999999" x14ac:dyDescent="0.2"/>
  <cols>
    <col min="1" max="1" width="25" style="1" bestFit="1" customWidth="1"/>
    <col min="2" max="2" width="12.77734375" style="1" customWidth="1"/>
    <col min="3" max="3" width="9.33203125" style="1" bestFit="1" customWidth="1"/>
    <col min="4" max="5" width="10.5546875" style="1" bestFit="1" customWidth="1"/>
    <col min="6" max="6" width="9.33203125" style="1" bestFit="1" customWidth="1"/>
    <col min="7" max="16384" width="8.77734375" style="1"/>
  </cols>
  <sheetData>
    <row r="1" spans="1:8" x14ac:dyDescent="0.2">
      <c r="A1" s="46" t="s">
        <v>49</v>
      </c>
    </row>
    <row r="2" spans="1:8" x14ac:dyDescent="0.2">
      <c r="A2" s="1" t="s">
        <v>20</v>
      </c>
      <c r="B2" s="10">
        <v>0.12</v>
      </c>
      <c r="C2" s="5"/>
    </row>
    <row r="3" spans="1:8" x14ac:dyDescent="0.2">
      <c r="A3" s="1" t="s">
        <v>21</v>
      </c>
      <c r="B3" s="10">
        <v>0.04</v>
      </c>
    </row>
    <row r="6" spans="1:8" s="5" customFormat="1" x14ac:dyDescent="0.2">
      <c r="A6" s="5" t="s">
        <v>22</v>
      </c>
      <c r="B6" s="5">
        <v>1</v>
      </c>
      <c r="C6" s="5">
        <v>2</v>
      </c>
      <c r="D6" s="5">
        <v>3</v>
      </c>
      <c r="E6" s="5">
        <v>4</v>
      </c>
      <c r="F6" s="5">
        <v>5</v>
      </c>
    </row>
    <row r="7" spans="1:8" x14ac:dyDescent="0.2">
      <c r="A7" s="1" t="s">
        <v>23</v>
      </c>
      <c r="B7" s="62">
        <f>'Break-Even Analysis'!B28</f>
        <v>516006</v>
      </c>
      <c r="C7" s="62">
        <f>'Break-Even Analysis'!C28</f>
        <v>621791.1799999997</v>
      </c>
      <c r="D7" s="62">
        <f>'Break-Even Analysis'!D28</f>
        <v>740375.16539999982</v>
      </c>
      <c r="E7" s="62">
        <f>'Break-Even Analysis'!E28</f>
        <v>873134.18286200007</v>
      </c>
      <c r="F7" s="62">
        <f>'Break-Even Analysis'!F28</f>
        <v>1021586.4589728601</v>
      </c>
      <c r="G7" s="32"/>
      <c r="H7" s="66"/>
    </row>
    <row r="8" spans="1:8" x14ac:dyDescent="0.2">
      <c r="A8" s="1" t="s">
        <v>62</v>
      </c>
      <c r="B8" s="62">
        <f>B7/(1+12/100)^B6</f>
        <v>460719.64285714284</v>
      </c>
      <c r="C8" s="62">
        <f>C7/(1+12/100)^C6</f>
        <v>495688.12181122421</v>
      </c>
      <c r="D8" s="62">
        <f t="shared" ref="D8:F8" si="0">D7/(1+12/100)^D6</f>
        <v>526984.41870330693</v>
      </c>
      <c r="E8" s="62">
        <f t="shared" si="0"/>
        <v>554892.55808203074</v>
      </c>
      <c r="F8" s="62">
        <f t="shared" si="0"/>
        <v>579675.59225966781</v>
      </c>
      <c r="G8" s="32"/>
    </row>
    <row r="9" spans="1:8" x14ac:dyDescent="0.2">
      <c r="A9" s="5" t="s">
        <v>24</v>
      </c>
      <c r="B9" s="63">
        <f>C7/0.08</f>
        <v>7772389.7499999963</v>
      </c>
      <c r="C9" s="63">
        <f t="shared" ref="C9:F9" si="1">D7/0.08</f>
        <v>9254689.5674999971</v>
      </c>
      <c r="D9" s="63">
        <f t="shared" si="1"/>
        <v>10914177.285775</v>
      </c>
      <c r="E9" s="63">
        <f t="shared" si="1"/>
        <v>12769830.737160752</v>
      </c>
      <c r="F9" s="63">
        <f t="shared" si="1"/>
        <v>0</v>
      </c>
      <c r="G9" s="32"/>
    </row>
    <row r="10" spans="1:8" ht="14.4" x14ac:dyDescent="0.3">
      <c r="A10" s="5" t="s">
        <v>25</v>
      </c>
      <c r="B10" s="67">
        <v>75420773</v>
      </c>
      <c r="C10" s="32"/>
      <c r="D10" s="32"/>
      <c r="E10" s="32"/>
      <c r="F10" s="32"/>
      <c r="G10" s="32"/>
    </row>
    <row r="11" spans="1:8" x14ac:dyDescent="0.2">
      <c r="B11" s="32"/>
      <c r="C11" s="64"/>
      <c r="D11" s="32"/>
      <c r="E11" s="32"/>
      <c r="F11" s="32"/>
      <c r="G11" s="32"/>
    </row>
    <row r="12" spans="1:8" x14ac:dyDescent="0.2">
      <c r="A12" s="43" t="s">
        <v>26</v>
      </c>
      <c r="B12" s="61">
        <v>78038733</v>
      </c>
      <c r="C12" s="32"/>
      <c r="D12" s="32"/>
      <c r="E12" s="32"/>
      <c r="F12" s="32"/>
      <c r="G12" s="32"/>
    </row>
    <row r="13" spans="1:8" ht="14.4" x14ac:dyDescent="0.3">
      <c r="A13" s="44" t="s">
        <v>28</v>
      </c>
      <c r="B13" s="67">
        <v>78038733</v>
      </c>
      <c r="C13" s="32"/>
      <c r="D13" s="32"/>
      <c r="E13" s="32"/>
      <c r="F13" s="32"/>
      <c r="G13" s="32"/>
    </row>
    <row r="14" spans="1:8" x14ac:dyDescent="0.2">
      <c r="B14" s="32"/>
      <c r="C14" s="32"/>
      <c r="D14" s="32"/>
      <c r="E14" s="32"/>
      <c r="F14" s="32"/>
      <c r="G14" s="32"/>
    </row>
    <row r="15" spans="1:8" ht="14.4" x14ac:dyDescent="0.2">
      <c r="A15" s="1" t="s">
        <v>27</v>
      </c>
      <c r="B15" s="68">
        <v>0.96699999999999997</v>
      </c>
      <c r="C15" s="32"/>
      <c r="D15" s="32"/>
      <c r="E15" s="32"/>
      <c r="F15" s="32"/>
      <c r="G15" s="3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0x00041BB9609029574BB48B0D67EE7C5EF0</ContentTypeId>
    <TemplateUrl xmlns="http://schemas.microsoft.com/sharepoint/v3" xsi:nil="true"/>
    <RISState xmlns="60B91B04-2990-4B57-B48B-0D67EE7C5EF0" xsi:nil="true"/>
    <RISOtherType xmlns="60B91B04-2990-4B57-B48B-0D67EE7C5EF0" xsi:nil="true"/>
    <RISGuid xmlns="60B91B04-2990-4B57-B48B-0D67EE7C5EF0">7a8ab331-4e1c-414e-b389-f34b19c5524a</RISGuid>
    <RISCreatedBy xmlns="60B91B04-2990-4B57-B48B-0D67EE7C5EF0" xsi:nil="true"/>
    <RISSaveFlagAdmin xmlns="60B91B04-2990-4B57-B48B-0D67EE7C5EF0" xsi:nil="true"/>
    <RISPRelatedType xmlns="60B91B04-2990-4B57-B48B-0D67EE7C5EF0">File</RISPRelatedType>
    <_SourceUrl xmlns="http://schemas.microsoft.com/sharepoint/v3" xsi:nil="true"/>
    <RISProductID xmlns="60B91B04-2990-4B57-B48B-0D67EE7C5EF0">49310</RISProductID>
    <RISWCMFlag xmlns="60B91B04-2990-4B57-B48B-0D67EE7C5EF0">New</RISWCMFlag>
    <RISCreateDate xmlns="60B91B04-2990-4B57-B48B-0D67EE7C5EF0" xsi:nil="true"/>
    <RISEmbargoDate xmlns="60B91B04-2990-4B57-B48B-0D67EE7C5EF0" xsi:nil="true"/>
    <RISModifiedDate xmlns="60B91B04-2990-4B57-B48B-0D67EE7C5EF0" xsi:nil="true"/>
    <xd_ProgID xmlns="http://schemas.microsoft.com/sharepoint/v3" xsi:nil="true"/>
    <RISAccessLevel xmlns="60B91B04-2990-4B57-B48B-0D67EE7C5EF0" xsi:nil="true"/>
    <RISPrimaryCitation xmlns="60B91B04-2990-4B57-B48B-0D67EE7C5EF0" xsi:nil="true"/>
    <RISUserType xmlns="60B91B04-2990-4B57-B48B-0D67EE7C5EF0" xsi:nil="true"/>
    <RISVisibility xmlns="60B91B04-2990-4B57-B48B-0D67EE7C5EF0" xsi:nil="true"/>
    <RISManuscriptType xmlns="60B91B04-2990-4B57-B48B-0D67EE7C5EF0" xsi:nil="true"/>
    <RISModifiedBy xmlns="60B91B04-2990-4B57-B48B-0D67EE7C5EF0" xsi:nil="true"/>
    <RISIncludeinFRProfile xmlns="60B91B04-2990-4B57-B48B-0D67EE7C5EF0" xsi:nil="true"/>
    <RISSendToDash xmlns="60B91B04-2990-4B57-B48B-0D67EE7C5EF0" xsi:nil="true"/>
    <RISDisplayName xmlns="60B91B04-2990-4B57-B48B-0D67EE7C5EF0">Lady M Exercises Teaching Note Supplement.xlsx</RISDisplayName>
    <RISSaveFlag xmlns="60B91B04-2990-4B57-B48B-0D67EE7C5EF0">Draft</RISSaveFlag>
    <Order xmlns="http://schemas.microsoft.com/sharepoint/v3" xsi:nil="true"/>
    <_SharedFileIndex xmlns="http://schemas.microsoft.com/sharepoint/v3" xsi:nil="true"/>
    <RISPersonID xmlns="60B91B04-2990-4B57-B48B-0D67EE7C5EF0">6585</RISPersonID>
    <MetaInfo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ublication Files" ma:contentTypeID="0x00041BB9609029574BB48B0D67EE7C5EF0" ma:contentTypeVersion="" ma:contentTypeDescription="" ma:contentTypeScope="" ma:versionID="e006b2bdfc7100d96a4b29f4bdfa4515">
  <xsd:schema xmlns:xsd="http://www.w3.org/2001/XMLSchema" xmlns:xs="http://www.w3.org/2001/XMLSchema" xmlns:p="http://schemas.microsoft.com/office/2006/metadata/properties" xmlns:ns1="http://schemas.microsoft.com/sharepoint/v3" xmlns:ns2="60B91B04-2990-4B57-B48B-0D67EE7C5EF0" targetNamespace="http://schemas.microsoft.com/office/2006/metadata/properties" ma:root="true" ma:fieldsID="dada58345766a1a0cc3b93590a79a703" ns1:_="" ns2:_="">
    <xsd:import namespace="http://schemas.microsoft.com/sharepoint/v3"/>
    <xsd:import namespace="60B91B04-2990-4B57-B48B-0D67EE7C5EF0"/>
    <xsd:element name="properties">
      <xsd:complexType>
        <xsd:sequence>
          <xsd:element name="documentManagement">
            <xsd:complexType>
              <xsd:all>
                <xsd:element ref="ns1:ContentTypeId" minOccurs="0"/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TemplateUrl" minOccurs="0"/>
                <xsd:element ref="ns1:xd_ProgID" minOccurs="0"/>
                <xsd:element ref="ns1:xd_Signature" minOccurs="0"/>
                <xsd:element ref="ns2:RISManuscriptType" minOccurs="0"/>
                <xsd:element ref="ns2:RISOtherType" minOccurs="0"/>
                <xsd:element ref="ns2:RISAccessLevel" minOccurs="0"/>
                <xsd:element ref="ns2:RISEmbargoDate" minOccurs="0"/>
                <xsd:element ref="ns2:RISSendToDash" minOccurs="0"/>
                <xsd:element ref="ns2:RISProductID" minOccurs="0"/>
                <xsd:element ref="ns2:RISPrimaryCitation" minOccurs="0"/>
                <xsd:element ref="ns2:RISDisplayName" minOccurs="0"/>
                <xsd:element ref="ns2:RISSaveFlag" minOccurs="0"/>
                <xsd:element ref="ns2:RISUserType" minOccurs="0"/>
                <xsd:element ref="ns2:RISSaveFlagAdmin" minOccurs="0"/>
                <xsd:element ref="ns2:RISState" minOccurs="0"/>
                <xsd:element ref="ns2:RISWCMFlag" minOccurs="0"/>
                <xsd:element ref="ns2:RISCreateDate" minOccurs="0"/>
                <xsd:element ref="ns2:RISModifiedDate" minOccurs="0"/>
                <xsd:element ref="ns2:RISCreatedBy" minOccurs="0"/>
                <xsd:element ref="ns2:RISModifiedBy" minOccurs="0"/>
                <xsd:element ref="ns2:RISVisibility" minOccurs="0"/>
                <xsd:element ref="ns2:RISIncludeinFRProfile" minOccurs="0"/>
                <xsd:element ref="ns2:RISGuid" minOccurs="0"/>
                <xsd:element ref="ns2:RISPersonID" minOccurs="0"/>
                <xsd:element ref="ns2:RISPRelatedTyp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ntentTypeId" ma:index="0" nillable="true" ma:displayName="Content Type ID" ma:hidden="true" ma:internalName="ContentTypeId" ma:readOnly="true">
      <xsd:simpleType>
        <xsd:restriction base="dms:Unknown"/>
      </xsd:simpleType>
    </xsd:element>
    <xsd:element name="_ModerationComments" ma:index="1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5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6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7" nillable="true" ma:displayName="Source URL" ma:hidden="true" ma:internalName="_SourceUrl">
      <xsd:simpleType>
        <xsd:restriction base="dms:Text"/>
      </xsd:simpleType>
    </xsd:element>
    <xsd:element name="_SharedFileIndex" ma:index="8" nillable="true" ma:displayName="Shared File Index" ma:hidden="true" ma:internalName="_SharedFileIndex">
      <xsd:simpleType>
        <xsd:restriction base="dms:Text"/>
      </xsd:simpleType>
    </xsd:element>
    <xsd:element name="TemplateUrl" ma:index="10" nillable="true" ma:displayName="Template Link" ma:hidden="true" ma:internalName="TemplateUrl">
      <xsd:simpleType>
        <xsd:restriction base="dms:Text"/>
      </xsd:simpleType>
    </xsd:element>
    <xsd:element name="xd_ProgID" ma:index="11" nillable="true" ma:displayName="HTML File Link" ma:hidden="true" ma:internalName="xd_ProgID">
      <xsd:simpleType>
        <xsd:restriction base="dms:Text"/>
      </xsd:simpleType>
    </xsd:element>
    <xsd:element name="xd_Signature" ma:index="12" nillable="true" ma:displayName="Is Signed" ma:hidden="true" ma:internalName="xd_Signature" ma:readOnly="true">
      <xsd:simpleType>
        <xsd:restriction base="dms:Boolean"/>
      </xsd:simpleType>
    </xsd:element>
    <xsd:element name="ID" ma:index="35" nillable="true" ma:displayName="ID" ma:internalName="ID" ma:readOnly="true">
      <xsd:simpleType>
        <xsd:restriction base="dms:Unknown"/>
      </xsd:simpleType>
    </xsd:element>
    <xsd:element name="Author" ma:index="3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4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4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42" nillable="true" ma:displayName="Copy Source" ma:internalName="_CopySource" ma:readOnly="true">
      <xsd:simpleType>
        <xsd:restriction base="dms:Text"/>
      </xsd:simpleType>
    </xsd:element>
    <xsd:element name="_ModerationStatus" ma:index="4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4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4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4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4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4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4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SortBehavior" ma:index="50" nillable="true" ma:displayName="Sort Type" ma:hidden="true" ma:list="Docs" ma:internalName="SortBehavior" ma:readOnly="true" ma:showField="SortBehavior">
      <xsd:simpleType>
        <xsd:restriction base="dms:Lookup"/>
      </xsd:simpleType>
    </xsd:element>
    <xsd:element name="CheckedOutUserId" ma:index="52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53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54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55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SyncClientId" ma:index="56" nillable="true" ma:displayName="Client Id" ma:hidden="true" ma:list="Docs" ma:internalName="SyncClientId" ma:readOnly="true" ma:showField="SyncClientId">
      <xsd:simpleType>
        <xsd:restriction base="dms:Lookup"/>
      </xsd:simpleType>
    </xsd:element>
    <xsd:element name="ProgId" ma:index="57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58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59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60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61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7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75" nillable="true" ma:displayName="Level" ma:hidden="true" ma:internalName="_Level" ma:readOnly="true">
      <xsd:simpleType>
        <xsd:restriction base="dms:Unknown"/>
      </xsd:simpleType>
    </xsd:element>
    <xsd:element name="_IsCurrentVersion" ma:index="76" nillable="true" ma:displayName="Is Current Version" ma:hidden="true" ma:internalName="_IsCurrentVersion" ma:readOnly="true">
      <xsd:simpleType>
        <xsd:restriction base="dms:Boolean"/>
      </xsd:simpleType>
    </xsd:element>
    <xsd:element name="ItemChildCount" ma:index="77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78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  <xsd:element name="owshiddenversion" ma:index="82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83" nillable="true" ma:displayName="UI Version" ma:hidden="true" ma:internalName="_UIVersion" ma:readOnly="true">
      <xsd:simpleType>
        <xsd:restriction base="dms:Unknown"/>
      </xsd:simpleType>
    </xsd:element>
    <xsd:element name="_UIVersionString" ma:index="84" nillable="true" ma:displayName="Version" ma:internalName="_UIVersionString" ma:readOnly="true">
      <xsd:simpleType>
        <xsd:restriction base="dms:Text"/>
      </xsd:simpleType>
    </xsd:element>
    <xsd:element name="InstanceID" ma:index="85" nillable="true" ma:displayName="Instance ID" ma:hidden="true" ma:internalName="InstanceID" ma:readOnly="true">
      <xsd:simpleType>
        <xsd:restriction base="dms:Unknown"/>
      </xsd:simpleType>
    </xsd:element>
    <xsd:element name="Order" ma:index="86" nillable="true" ma:displayName="Order" ma:hidden="true" ma:internalName="Order">
      <xsd:simpleType>
        <xsd:restriction base="dms:Number"/>
      </xsd:simpleType>
    </xsd:element>
    <xsd:element name="GUID" ma:index="87" nillable="true" ma:displayName="GUID" ma:hidden="true" ma:internalName="GUID" ma:readOnly="true">
      <xsd:simpleType>
        <xsd:restriction base="dms:Unknown"/>
      </xsd:simpleType>
    </xsd:element>
    <xsd:element name="WorkflowVersion" ma:index="88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89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90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91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92" nillable="true" ma:displayName="Document Concurrency Number" ma:hidden="true" ma:list="Docs" ma:internalName="DocConcurrencyNumber" ma:readOnly="true" ma:showField="DocConcurrencyNumber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1B04-2990-4B57-B48B-0D67EE7C5EF0" elementFormDefault="qualified">
    <xsd:import namespace="http://schemas.microsoft.com/office/2006/documentManagement/types"/>
    <xsd:import namespace="http://schemas.microsoft.com/office/infopath/2007/PartnerControls"/>
    <xsd:element name="RISManuscriptType" ma:index="13" nillable="true" ma:displayName="Manuscript Type" ma:format="Dropdown" ma:internalName="RISManuscriptType">
      <xsd:simpleType>
        <xsd:restriction base="dms:Choice">
          <xsd:enumeration value="Author's original"/>
          <xsd:enumeration value="Author's final version"/>
          <xsd:enumeration value="Proof"/>
          <xsd:enumeration value="Published version"/>
          <xsd:enumeration value="Other"/>
        </xsd:restriction>
      </xsd:simpleType>
    </xsd:element>
    <xsd:element name="RISOtherType" ma:index="14" nillable="true" ma:displayName="Type" ma:internalName="RISOtherType">
      <xsd:simpleType>
        <xsd:restriction base="dms:Text">
          <xsd:maxLength value="120"/>
        </xsd:restriction>
      </xsd:simpleType>
    </xsd:element>
    <xsd:element name="RISAccessLevel" ma:index="15" nillable="true" ma:displayName="Access To" ma:format="Dropdown" ma:internalName="RISAccessLevel">
      <xsd:simpleType>
        <xsd:restriction base="dms:Choice">
          <xsd:enumeration value="Everyone"/>
          <xsd:enumeration value="HBS Only"/>
          <xsd:enumeration value="Private"/>
        </xsd:restriction>
      </xsd:simpleType>
    </xsd:element>
    <xsd:element name="RISEmbargoDate" ma:index="16" nillable="true" ma:displayName="Availability/Embargo Date" ma:format="DateOnly" ma:internalName="RISEmbargoDate">
      <xsd:simpleType>
        <xsd:restriction base="dms:DateTime"/>
      </xsd:simpleType>
    </xsd:element>
    <xsd:element name="RISSendToDash" ma:index="17" nillable="true" ma:displayName="DASH" ma:format="Dropdown" ma:internalName="RISSendToDash">
      <xsd:simpleType>
        <xsd:restriction base="dms:Choice">
          <xsd:enumeration value="Citation and File"/>
          <xsd:enumeration value="Citation Only"/>
          <xsd:enumeration value="Dark"/>
          <xsd:enumeration value="Do not send to DASH"/>
        </xsd:restriction>
      </xsd:simpleType>
    </xsd:element>
    <xsd:element name="RISProductID" ma:index="18" nillable="true" ma:displayName="Product ID" ma:internalName="RISProductID">
      <xsd:simpleType>
        <xsd:restriction base="dms:Number"/>
      </xsd:simpleType>
    </xsd:element>
    <xsd:element name="RISPrimaryCitation" ma:index="19" nillable="true" ma:displayName="Primary Citation" ma:format="Dropdown" ma:internalName="RISPrimaryCitation">
      <xsd:simpleType>
        <xsd:restriction base="dms:Choice">
          <xsd:enumeration value="F"/>
          <xsd:enumeration value="T"/>
        </xsd:restriction>
      </xsd:simpleType>
    </xsd:element>
    <xsd:element name="RISDisplayName" ma:index="20" nillable="true" ma:displayName="Display Name" ma:internalName="RISDisplayName">
      <xsd:simpleType>
        <xsd:restriction base="dms:Text">
          <xsd:maxLength value="120"/>
        </xsd:restriction>
      </xsd:simpleType>
    </xsd:element>
    <xsd:element name="RISSaveFlag" ma:index="21" nillable="true" ma:displayName="Save Flag" ma:internalName="RISSaveFlag">
      <xsd:simpleType>
        <xsd:restriction base="dms:Text">
          <xsd:maxLength value="255"/>
        </xsd:restriction>
      </xsd:simpleType>
    </xsd:element>
    <xsd:element name="RISUserType" ma:index="22" nillable="true" ma:displayName="User Type" ma:internalName="RISUserType">
      <xsd:simpleType>
        <xsd:restriction base="dms:Text">
          <xsd:maxLength value="100"/>
        </xsd:restriction>
      </xsd:simpleType>
    </xsd:element>
    <xsd:element name="RISSaveFlagAdmin" ma:index="23" nillable="true" ma:displayName="Save Flag Admin" ma:internalName="RISSaveFlagAdmin">
      <xsd:simpleType>
        <xsd:restriction base="dms:Text">
          <xsd:maxLength value="255"/>
        </xsd:restriction>
      </xsd:simpleType>
    </xsd:element>
    <xsd:element name="RISState" ma:index="24" nillable="true" ma:displayName="Publication State" ma:internalName="RISState">
      <xsd:simpleType>
        <xsd:restriction base="dms:Text">
          <xsd:maxLength value="255"/>
        </xsd:restriction>
      </xsd:simpleType>
    </xsd:element>
    <xsd:element name="RISWCMFlag" ma:index="25" nillable="true" ma:displayName="WCM Flag" ma:format="Dropdown" ma:internalName="RISWCMFlag">
      <xsd:simpleType>
        <xsd:restriction base="dms:Choice">
          <xsd:enumeration value="New"/>
          <xsd:enumeration value="Updated"/>
          <xsd:enumeration value="NoChange"/>
          <xsd:enumeration value="Deleted"/>
        </xsd:restriction>
      </xsd:simpleType>
    </xsd:element>
    <xsd:element name="RISCreateDate" ma:index="26" nillable="true" ma:displayName="Created Date" ma:format="DateOnly" ma:internalName="RISCreateDate">
      <xsd:simpleType>
        <xsd:restriction base="dms:DateTime"/>
      </xsd:simpleType>
    </xsd:element>
    <xsd:element name="RISModifiedDate" ma:index="27" nillable="true" ma:displayName="Modified Date" ma:format="DateOnly" ma:internalName="RISModifiedDate">
      <xsd:simpleType>
        <xsd:restriction base="dms:DateTime"/>
      </xsd:simpleType>
    </xsd:element>
    <xsd:element name="RISCreatedBy" ma:index="28" nillable="true" ma:displayName="RIS Created By" ma:internalName="RISCreatedBy">
      <xsd:simpleType>
        <xsd:restriction base="dms:Text">
          <xsd:maxLength value="100"/>
        </xsd:restriction>
      </xsd:simpleType>
    </xsd:element>
    <xsd:element name="RISModifiedBy" ma:index="29" nillable="true" ma:displayName="RIS Modified By" ma:internalName="RISModifiedBy">
      <xsd:simpleType>
        <xsd:restriction base="dms:Text">
          <xsd:maxLength value="100"/>
        </xsd:restriction>
      </xsd:simpleType>
    </xsd:element>
    <xsd:element name="RISVisibility" ma:index="30" nillable="true" ma:displayName="Visibility" ma:format="Dropdown" ma:internalName="RISVisibility">
      <xsd:simpleType>
        <xsd:restriction base="dms:Choice">
          <xsd:enumeration value="Public"/>
          <xsd:enumeration value="Suppressed"/>
        </xsd:restriction>
      </xsd:simpleType>
    </xsd:element>
    <xsd:element name="RISIncludeinFRProfile" ma:index="31" nillable="true" ma:displayName="Show on My F And R Profile" ma:internalName="RISIncludeinFRProfile">
      <xsd:simpleType>
        <xsd:restriction base="dms:Boolean"/>
      </xsd:simpleType>
    </xsd:element>
    <xsd:element name="RISGuid" ma:index="32" nillable="true" ma:displayName="Unique ID" ma:internalName="RISGuid">
      <xsd:simpleType>
        <xsd:restriction base="dms:Text">
          <xsd:maxLength value="36"/>
        </xsd:restriction>
      </xsd:simpleType>
    </xsd:element>
    <xsd:element name="RISPersonID" ma:index="33" nillable="true" ma:displayName="Person ID" ma:internalName="RISPersonID">
      <xsd:simpleType>
        <xsd:restriction base="dms:Text">
          <xsd:maxLength value="10"/>
        </xsd:restriction>
      </xsd:simpleType>
    </xsd:element>
    <xsd:element name="RISPRelatedType" ma:index="34" nillable="true" ma:displayName="Related Type" ma:internalName="RISPRelatedType">
      <xsd:simpleType>
        <xsd:restriction base="dms:Text">
          <xsd:maxLength value="12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6" ma:displayName="Content Type"/>
        <xsd:element ref="dc:title" minOccurs="0" maxOccurs="1" ma:index="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CB0A4D-4533-42A2-8A19-B8FBC70943B6}">
  <ds:schemaRefs>
    <ds:schemaRef ds:uri="http://purl.org/dc/dcmitype/"/>
    <ds:schemaRef ds:uri="http://www.w3.org/XML/1998/namespace"/>
    <ds:schemaRef ds:uri="60B91B04-2990-4B57-B48B-0D67EE7C5EF0"/>
    <ds:schemaRef ds:uri="http://schemas.microsoft.com/sharepoint/v3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F8EBECA-4FC4-4415-8473-F33C4BF69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Break-Even Analysis</vt:lpstr>
      <vt:lpstr>Projected FCF</vt:lpstr>
      <vt:lpstr>Perpetuity Growth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Lady M Exercises Teaching Note Supplement_3b0ab44e-4062-43f8-a3b9-5dc8c8c3cc31.xlsx</dc:title>
  <dc:creator>Beth Meyer</dc:creator>
  <cp:lastModifiedBy>hari om</cp:lastModifiedBy>
  <cp:lastPrinted>2015-07-06T14:26:43Z</cp:lastPrinted>
  <dcterms:created xsi:type="dcterms:W3CDTF">2014-07-25T18:28:28Z</dcterms:created>
  <dcterms:modified xsi:type="dcterms:W3CDTF">2025-08-18T02:43:03Z</dcterms:modified>
</cp:coreProperties>
</file>