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Pro\FastAPI\"/>
    </mc:Choice>
  </mc:AlternateContent>
  <xr:revisionPtr revIDLastSave="0" documentId="13_ncr:1_{F0CDFC2F-E231-4EA0-95B2-B03CAA6DDD05}" xr6:coauthVersionLast="36" xr6:coauthVersionMax="36" xr10:uidLastSave="{00000000-0000-0000-0000-000000000000}"/>
  <bookViews>
    <workbookView xWindow="32770" yWindow="32770" windowWidth="10300" windowHeight="5800" firstSheet="5" activeTab="8" xr2:uid="{00000000-000D-0000-FFFF-FFFF00000000}"/>
  </bookViews>
  <sheets>
    <sheet name="CapBudgWS" sheetId="1" r:id="rId1"/>
    <sheet name="investment measures" sheetId="8" r:id="rId2"/>
    <sheet name="growth rates" sheetId="6" r:id="rId3"/>
    <sheet name="working capital" sheetId="5" r:id="rId4"/>
    <sheet name="discount rate" sheetId="4" r:id="rId5"/>
    <sheet name="cashflow details" sheetId="3" r:id="rId6"/>
    <sheet name="initial investment" sheetId="2" r:id="rId7"/>
    <sheet name="book value &amp; depreciation" sheetId="14" r:id="rId8"/>
    <sheet name="operating cashflows" sheetId="13" r:id="rId9"/>
  </sheets>
  <calcPr calcId="191029"/>
</workbook>
</file>

<file path=xl/calcChain.xml><?xml version="1.0" encoding="utf-8"?>
<calcChain xmlns="http://schemas.openxmlformats.org/spreadsheetml/2006/main">
  <c r="B5" i="14" l="1"/>
  <c r="L4" i="14"/>
  <c r="K4" i="14"/>
  <c r="J4" i="14"/>
  <c r="I4" i="14"/>
  <c r="H4" i="14"/>
  <c r="G4" i="14"/>
  <c r="F4" i="14"/>
  <c r="E4" i="14"/>
  <c r="D4" i="14"/>
  <c r="C4" i="14"/>
  <c r="B4" i="14"/>
  <c r="L3" i="14"/>
  <c r="K3" i="14"/>
  <c r="J3" i="14"/>
  <c r="I3" i="14"/>
  <c r="H3" i="14"/>
  <c r="G3" i="14"/>
  <c r="F3" i="14"/>
  <c r="E3" i="14"/>
  <c r="D3" i="14"/>
  <c r="C3" i="14"/>
  <c r="B3" i="14"/>
  <c r="L2" i="14"/>
  <c r="K2" i="14"/>
  <c r="J2" i="14"/>
  <c r="I2" i="14"/>
  <c r="H2" i="14"/>
  <c r="G2" i="14"/>
  <c r="F2" i="14"/>
  <c r="E2" i="14"/>
  <c r="D2" i="14"/>
  <c r="C2" i="14"/>
  <c r="B2" i="14"/>
  <c r="C10" i="13"/>
  <c r="D4" i="13"/>
  <c r="E15" i="13"/>
  <c r="D15" i="13"/>
  <c r="C15" i="13"/>
  <c r="B15" i="13"/>
  <c r="L14" i="13"/>
  <c r="K14" i="13"/>
  <c r="J14" i="13"/>
  <c r="I14" i="13"/>
  <c r="H14" i="13"/>
  <c r="G14" i="13"/>
  <c r="F14" i="13"/>
  <c r="E14" i="13"/>
  <c r="D14" i="13"/>
  <c r="C14" i="13"/>
  <c r="B14" i="13"/>
  <c r="E13" i="13"/>
  <c r="D13" i="13"/>
  <c r="C13" i="13"/>
  <c r="B13" i="13"/>
  <c r="F12" i="13"/>
  <c r="E12" i="13"/>
  <c r="D12" i="13"/>
  <c r="C12" i="13"/>
  <c r="L11" i="13"/>
  <c r="K11" i="13"/>
  <c r="J11" i="13"/>
  <c r="I11" i="13"/>
  <c r="H11" i="13"/>
  <c r="G11" i="13"/>
  <c r="F11" i="13"/>
  <c r="E11" i="13"/>
  <c r="D11" i="13"/>
  <c r="C11" i="13"/>
  <c r="L10" i="13"/>
  <c r="K10" i="13"/>
  <c r="J10" i="13"/>
  <c r="I10" i="13"/>
  <c r="H10" i="13"/>
  <c r="G10" i="13"/>
  <c r="F10" i="13"/>
  <c r="E10" i="13"/>
  <c r="D10" i="13"/>
  <c r="L9" i="13"/>
  <c r="K9" i="13"/>
  <c r="J9" i="13"/>
  <c r="I9" i="13"/>
  <c r="H9" i="13"/>
  <c r="G9" i="13"/>
  <c r="F9" i="13"/>
  <c r="E9" i="13"/>
  <c r="D9" i="13"/>
  <c r="C9" i="13"/>
  <c r="L8" i="13"/>
  <c r="K8" i="13"/>
  <c r="J8" i="13"/>
  <c r="I8" i="13"/>
  <c r="H8" i="13"/>
  <c r="G8" i="13"/>
  <c r="F8" i="13"/>
  <c r="E8" i="13"/>
  <c r="D8" i="13"/>
  <c r="C8" i="13"/>
  <c r="L7" i="13"/>
  <c r="K7" i="13"/>
  <c r="J7" i="13"/>
  <c r="I7" i="13"/>
  <c r="H7" i="13"/>
  <c r="G7" i="13"/>
  <c r="F7" i="13"/>
  <c r="E7" i="13"/>
  <c r="D7" i="13"/>
  <c r="C7" i="13"/>
  <c r="L6" i="13"/>
  <c r="K6" i="13"/>
  <c r="J6" i="13"/>
  <c r="I6" i="13"/>
  <c r="H6" i="13"/>
  <c r="G6" i="13"/>
  <c r="F6" i="13"/>
  <c r="E6" i="13"/>
  <c r="D6" i="13"/>
  <c r="C6" i="13"/>
  <c r="L5" i="13"/>
  <c r="K5" i="13"/>
  <c r="J5" i="13"/>
  <c r="I5" i="13"/>
  <c r="H5" i="13"/>
  <c r="G5" i="13"/>
  <c r="F5" i="13"/>
  <c r="E5" i="13"/>
  <c r="D5" i="13"/>
  <c r="C5" i="13"/>
  <c r="L4" i="13"/>
  <c r="K4" i="13"/>
  <c r="J4" i="13"/>
  <c r="I4" i="13"/>
  <c r="H4" i="13"/>
  <c r="G4" i="13"/>
  <c r="F4" i="13"/>
  <c r="E4" i="13"/>
  <c r="C4" i="13"/>
  <c r="L3" i="13"/>
  <c r="K3" i="13"/>
  <c r="J3" i="13"/>
  <c r="I3" i="13"/>
  <c r="H3" i="13"/>
  <c r="G3" i="13"/>
  <c r="F3" i="13"/>
  <c r="E3" i="13"/>
  <c r="D3" i="13"/>
  <c r="C3" i="13"/>
  <c r="L2" i="13"/>
  <c r="K2" i="13"/>
  <c r="J2" i="13"/>
  <c r="I2" i="13"/>
  <c r="H2" i="13"/>
  <c r="G2" i="13"/>
  <c r="F2" i="13"/>
  <c r="E2" i="13"/>
  <c r="D2" i="13"/>
  <c r="C2" i="13"/>
  <c r="B50" i="1"/>
  <c r="L3" i="6"/>
  <c r="K3" i="6"/>
  <c r="J3" i="6"/>
  <c r="I3" i="6"/>
  <c r="H3" i="6"/>
  <c r="G3" i="6"/>
  <c r="F3" i="6"/>
  <c r="E3" i="6"/>
  <c r="D3" i="6"/>
  <c r="L62" i="1"/>
  <c r="K62" i="1"/>
  <c r="J62" i="1"/>
  <c r="I62" i="1"/>
  <c r="H62" i="1"/>
  <c r="G62" i="1"/>
  <c r="F62" i="1"/>
  <c r="E62" i="1"/>
  <c r="D62" i="1"/>
  <c r="C62" i="1"/>
  <c r="B60" i="1"/>
  <c r="B61" i="1"/>
  <c r="B62" i="1"/>
  <c r="B63" i="1"/>
  <c r="L61" i="1"/>
  <c r="K61" i="1"/>
  <c r="J61" i="1"/>
  <c r="I61" i="1"/>
  <c r="H61" i="1"/>
  <c r="G61" i="1"/>
  <c r="G43" i="1" s="1"/>
  <c r="F61" i="1"/>
  <c r="E61" i="1"/>
  <c r="D61" i="1"/>
  <c r="C61" i="1"/>
  <c r="D60" i="1" s="1"/>
  <c r="C60" i="1"/>
  <c r="B51" i="1"/>
  <c r="L50" i="1"/>
  <c r="K50" i="1"/>
  <c r="J50" i="1"/>
  <c r="I50" i="1"/>
  <c r="H50" i="1"/>
  <c r="G50" i="1"/>
  <c r="F50" i="1"/>
  <c r="E50" i="1"/>
  <c r="D50" i="1"/>
  <c r="C50" i="1"/>
  <c r="B49" i="1"/>
  <c r="F48" i="1"/>
  <c r="F13" i="13" s="1"/>
  <c r="E48" i="1"/>
  <c r="D48" i="1"/>
  <c r="C48" i="1"/>
  <c r="L43" i="1"/>
  <c r="L47" i="1" s="1"/>
  <c r="K43" i="1"/>
  <c r="K44" i="1" s="1"/>
  <c r="J43" i="1"/>
  <c r="J47" i="1" s="1"/>
  <c r="I43" i="1"/>
  <c r="I47" i="1" s="1"/>
  <c r="H43" i="1"/>
  <c r="H47" i="1" s="1"/>
  <c r="F43" i="1"/>
  <c r="F47" i="1" s="1"/>
  <c r="E43" i="1"/>
  <c r="E47" i="1" s="1"/>
  <c r="D43" i="1"/>
  <c r="D47" i="1" s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4" i="1"/>
  <c r="L35" i="1"/>
  <c r="K34" i="1"/>
  <c r="K35" i="1"/>
  <c r="J34" i="1"/>
  <c r="J35" i="1"/>
  <c r="I34" i="1"/>
  <c r="I35" i="1"/>
  <c r="H34" i="1"/>
  <c r="H35" i="1"/>
  <c r="G34" i="1"/>
  <c r="G35" i="1"/>
  <c r="F34" i="1"/>
  <c r="F35" i="1"/>
  <c r="E34" i="1"/>
  <c r="E35" i="1"/>
  <c r="D34" i="1"/>
  <c r="D35" i="1"/>
  <c r="C34" i="1"/>
  <c r="C35" i="1"/>
  <c r="B31" i="1"/>
  <c r="B30" i="1"/>
  <c r="B29" i="1"/>
  <c r="B28" i="1"/>
  <c r="B27" i="1"/>
  <c r="B26" i="1"/>
  <c r="B25" i="1"/>
  <c r="L20" i="1"/>
  <c r="K20" i="1"/>
  <c r="J20" i="1"/>
  <c r="I20" i="1"/>
  <c r="H20" i="1"/>
  <c r="G20" i="1"/>
  <c r="F20" i="1"/>
  <c r="E20" i="1"/>
  <c r="D20" i="1"/>
  <c r="K11" i="1"/>
  <c r="G48" i="1" l="1"/>
  <c r="G12" i="13"/>
  <c r="H48" i="1"/>
  <c r="H13" i="13" s="1"/>
  <c r="L44" i="1"/>
  <c r="K45" i="1"/>
  <c r="K46" i="1" s="1"/>
  <c r="K47" i="1"/>
  <c r="J44" i="1"/>
  <c r="I44" i="1"/>
  <c r="H44" i="1"/>
  <c r="G44" i="1"/>
  <c r="G47" i="1"/>
  <c r="F44" i="1"/>
  <c r="E44" i="1"/>
  <c r="D44" i="1"/>
  <c r="E60" i="1"/>
  <c r="F60" i="1" s="1"/>
  <c r="G60" i="1" s="1"/>
  <c r="H60" i="1" s="1"/>
  <c r="I60" i="1" s="1"/>
  <c r="J60" i="1" s="1"/>
  <c r="K60" i="1" s="1"/>
  <c r="L60" i="1" s="1"/>
  <c r="C43" i="1"/>
  <c r="G13" i="13" l="1"/>
  <c r="J12" i="13"/>
  <c r="I48" i="1"/>
  <c r="I13" i="13" s="1"/>
  <c r="I12" i="13"/>
  <c r="K12" i="13"/>
  <c r="H12" i="13"/>
  <c r="J48" i="1"/>
  <c r="J13" i="13" s="1"/>
  <c r="L45" i="1"/>
  <c r="L46" i="1" s="1"/>
  <c r="J45" i="1"/>
  <c r="J46" i="1" s="1"/>
  <c r="I45" i="1"/>
  <c r="I46" i="1" s="1"/>
  <c r="I49" i="1" s="1"/>
  <c r="H45" i="1"/>
  <c r="H46" i="1" s="1"/>
  <c r="H49" i="1" s="1"/>
  <c r="G45" i="1"/>
  <c r="G46" i="1" s="1"/>
  <c r="G49" i="1" s="1"/>
  <c r="F45" i="1"/>
  <c r="F46" i="1"/>
  <c r="F49" i="1" s="1"/>
  <c r="E45" i="1"/>
  <c r="E46" i="1" s="1"/>
  <c r="E49" i="1" s="1"/>
  <c r="E51" i="1" s="1"/>
  <c r="D45" i="1"/>
  <c r="D46" i="1" s="1"/>
  <c r="D49" i="1" s="1"/>
  <c r="D51" i="1" s="1"/>
  <c r="C47" i="1"/>
  <c r="C44" i="1"/>
  <c r="F51" i="1" l="1"/>
  <c r="F15" i="13"/>
  <c r="K48" i="1"/>
  <c r="G51" i="1"/>
  <c r="G15" i="13"/>
  <c r="H51" i="1"/>
  <c r="H15" i="13"/>
  <c r="I51" i="1"/>
  <c r="I15" i="13"/>
  <c r="J49" i="1"/>
  <c r="L48" i="1"/>
  <c r="L13" i="13" s="1"/>
  <c r="C45" i="1"/>
  <c r="C46" i="1"/>
  <c r="C49" i="1" s="1"/>
  <c r="K13" i="13" l="1"/>
  <c r="K49" i="1"/>
  <c r="L12" i="13"/>
  <c r="L49" i="1"/>
  <c r="J51" i="1"/>
  <c r="J15" i="13"/>
  <c r="C51" i="1"/>
  <c r="C55" i="1"/>
  <c r="L51" i="1" l="1"/>
  <c r="L15" i="13"/>
  <c r="K51" i="1"/>
  <c r="C54" i="1" s="1"/>
  <c r="K15" i="13"/>
  <c r="C56" i="1"/>
  <c r="B4" i="8" l="1"/>
  <c r="B3" i="8" l="1"/>
  <c r="B2" i="8" l="1"/>
</calcChain>
</file>

<file path=xl/sharedStrings.xml><?xml version="1.0" encoding="utf-8"?>
<sst xmlns="http://schemas.openxmlformats.org/spreadsheetml/2006/main" count="218" uniqueCount="89">
  <si>
    <t>Equity Analysis of a Project</t>
  </si>
  <si>
    <t>INPUT SHEET: USER ENTERS ALL BOLD NUMBERS</t>
  </si>
  <si>
    <t>INITIAL INVESTMENT</t>
  </si>
  <si>
    <t>CASHFLOW DETAILS</t>
  </si>
  <si>
    <t>DISCOUNT RATE</t>
  </si>
  <si>
    <t>Initial Investment=</t>
  </si>
  <si>
    <t>Revenues in  year 1=</t>
  </si>
  <si>
    <t>Approach(1:Direct;2:CAPM)=</t>
  </si>
  <si>
    <t>Opportunity cost (if any)=</t>
  </si>
  <si>
    <t>Var. Expenses as % of Rev=</t>
  </si>
  <si>
    <t>1. Discount rate =</t>
  </si>
  <si>
    <t>Lifetime of the investment</t>
  </si>
  <si>
    <t>Fixed expenses in year 1=</t>
  </si>
  <si>
    <t>2a. Beta</t>
  </si>
  <si>
    <t>Salvage Value at end of project=</t>
  </si>
  <si>
    <t>Tax rate on net income=</t>
  </si>
  <si>
    <t xml:space="preserve"> b. Riskless rate=</t>
  </si>
  <si>
    <t>Deprec. method(1:St.line;2:DDB)=</t>
  </si>
  <si>
    <t>If you do not have the breakdown of fixed and variable</t>
  </si>
  <si>
    <t xml:space="preserve"> c. Market risk premium =</t>
  </si>
  <si>
    <t>Tax Credit (if any )=</t>
  </si>
  <si>
    <t>expenses, input the entire expense as a % of revenues.</t>
  </si>
  <si>
    <t xml:space="preserve"> d. Debt Ratio =</t>
  </si>
  <si>
    <t>Other invest.(non-depreciable)=</t>
  </si>
  <si>
    <t xml:space="preserve"> e. Cost of Borrowing =</t>
  </si>
  <si>
    <t>Discount rate used=</t>
  </si>
  <si>
    <t>WORKING CAPITAL</t>
  </si>
  <si>
    <t>Initial Investment in Work. Cap=</t>
  </si>
  <si>
    <t>Working Capital as % of Rev=</t>
  </si>
  <si>
    <t>Salvageable fraction at end=</t>
  </si>
  <si>
    <t>GROWTH RATES</t>
  </si>
  <si>
    <t>Revenues</t>
  </si>
  <si>
    <t>Do not enter</t>
  </si>
  <si>
    <t>Fixed Expenses</t>
  </si>
  <si>
    <t>Default: The fixed expense growth rate is set equal to the growth rate in revenues by default.</t>
  </si>
  <si>
    <t>YEAR</t>
  </si>
  <si>
    <t>Investment</t>
  </si>
  <si>
    <t xml:space="preserve"> - Tax Credit</t>
  </si>
  <si>
    <t>Net Investment</t>
  </si>
  <si>
    <t xml:space="preserve"> + Working Cap</t>
  </si>
  <si>
    <t xml:space="preserve"> + Opp. Cost</t>
  </si>
  <si>
    <t xml:space="preserve"> + Other invest.</t>
  </si>
  <si>
    <t>Initial Investment</t>
  </si>
  <si>
    <t>SALVAGE VALUE</t>
  </si>
  <si>
    <t>Equipment</t>
  </si>
  <si>
    <t>Working Capital</t>
  </si>
  <si>
    <t>OPERATING CASHFLOWS</t>
  </si>
  <si>
    <t>Lifetime Index</t>
  </si>
  <si>
    <t xml:space="preserve"> -Var. Expenses</t>
  </si>
  <si>
    <t xml:space="preserve"> - Fixed Expenses</t>
  </si>
  <si>
    <t>EBITDA</t>
  </si>
  <si>
    <t xml:space="preserve"> - Depreciation</t>
  </si>
  <si>
    <t>EBIT</t>
  </si>
  <si>
    <t xml:space="preserve"> -Tax</t>
  </si>
  <si>
    <t>EBIT(1-t)</t>
  </si>
  <si>
    <t xml:space="preserve"> + Depreciation</t>
  </si>
  <si>
    <t xml:space="preserve"> - ∂ Work. Cap</t>
  </si>
  <si>
    <t>NATCF</t>
  </si>
  <si>
    <t>Discount Factor</t>
  </si>
  <si>
    <t>Discounted CF</t>
  </si>
  <si>
    <t>Investment Measures</t>
  </si>
  <si>
    <t>NPV =</t>
  </si>
  <si>
    <t>IRR =</t>
  </si>
  <si>
    <t>ROC =</t>
  </si>
  <si>
    <t>BOOK VALUE &amp; DEPRECIATION</t>
  </si>
  <si>
    <t>Book Value (beginning)</t>
  </si>
  <si>
    <t>Depreciation</t>
  </si>
  <si>
    <t>BV(ending)</t>
  </si>
  <si>
    <t>Column1</t>
  </si>
  <si>
    <t>Column2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</si>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</sst>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9">
    <font>
      <sz val="10"/>
      <name val="Geneva"/>
    </font>
    <font>
      <i/>
      <sz val="10"/>
      <name val="Geneva"/>
    </font>
    <font>
      <b/>
      <i/>
      <sz val="10"/>
      <name val="Geneva"/>
    </font>
    <font>
      <sz val="12"/>
      <name val="Times"/>
    </font>
    <font>
      <sz val="10"/>
      <name val="Times"/>
    </font>
    <font>
      <b/>
      <sz val="10"/>
      <name val="Times"/>
    </font>
    <font>
      <sz val="10"/>
      <name val="Geneva"/>
    </font>
    <font>
      <i/>
      <sz val="10"/>
      <name val="Times"/>
    </font>
    <font>
      <b/>
      <i/>
      <sz val="18"/>
      <name val="Geneva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5" fontId="5" fillId="0" borderId="4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/>
    <xf numFmtId="10" fontId="5" fillId="0" borderId="0" xfId="0" applyNumberFormat="1" applyFont="1" applyBorder="1"/>
    <xf numFmtId="0" fontId="4" fillId="0" borderId="8" xfId="0" applyFont="1" applyBorder="1"/>
    <xf numFmtId="5" fontId="4" fillId="0" borderId="0" xfId="0" applyNumberFormat="1" applyFont="1"/>
    <xf numFmtId="0" fontId="4" fillId="0" borderId="9" xfId="0" applyFont="1" applyBorder="1"/>
    <xf numFmtId="0" fontId="4" fillId="0" borderId="10" xfId="0" applyFont="1" applyBorder="1"/>
    <xf numFmtId="5" fontId="4" fillId="0" borderId="0" xfId="0" applyNumberFormat="1" applyFont="1" applyBorder="1"/>
    <xf numFmtId="5" fontId="4" fillId="0" borderId="10" xfId="0" applyNumberFormat="1" applyFont="1" applyBorder="1"/>
    <xf numFmtId="0" fontId="4" fillId="0" borderId="11" xfId="0" applyFont="1" applyBorder="1"/>
    <xf numFmtId="0" fontId="2" fillId="0" borderId="0" xfId="0" applyFont="1"/>
    <xf numFmtId="0" fontId="8" fillId="0" borderId="0" xfId="0" applyFont="1" applyAlignment="1">
      <alignment horizontal="centerContinuous"/>
    </xf>
    <xf numFmtId="0" fontId="4" fillId="0" borderId="4" xfId="0" applyFont="1" applyBorder="1"/>
    <xf numFmtId="5" fontId="4" fillId="0" borderId="4" xfId="0" applyNumberFormat="1" applyFont="1" applyBorder="1"/>
    <xf numFmtId="10" fontId="4" fillId="0" borderId="14" xfId="0" applyNumberFormat="1" applyFont="1" applyBorder="1" applyAlignment="1">
      <alignment horizontal="center"/>
    </xf>
    <xf numFmtId="0" fontId="7" fillId="0" borderId="9" xfId="0" applyFont="1" applyBorder="1"/>
    <xf numFmtId="0" fontId="5" fillId="0" borderId="10" xfId="0" applyFont="1" applyBorder="1" applyAlignment="1">
      <alignment horizontal="center"/>
    </xf>
    <xf numFmtId="9" fontId="5" fillId="0" borderId="10" xfId="0" applyNumberFormat="1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0" fontId="4" fillId="0" borderId="12" xfId="0" applyFont="1" applyBorder="1"/>
    <xf numFmtId="10" fontId="4" fillId="0" borderId="13" xfId="0" applyNumberFormat="1" applyFont="1" applyBorder="1" applyAlignment="1">
      <alignment horizontal="center"/>
    </xf>
    <xf numFmtId="0" fontId="7" fillId="0" borderId="2" xfId="0" applyFont="1" applyBorder="1"/>
    <xf numFmtId="0" fontId="4" fillId="0" borderId="7" xfId="0" applyFont="1" applyBorder="1"/>
    <xf numFmtId="5" fontId="5" fillId="0" borderId="15" xfId="0" applyNumberFormat="1" applyFont="1" applyBorder="1" applyAlignment="1">
      <alignment horizontal="center"/>
    </xf>
    <xf numFmtId="9" fontId="5" fillId="0" borderId="1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6" xfId="0" applyFont="1" applyBorder="1"/>
    <xf numFmtId="5" fontId="4" fillId="0" borderId="16" xfId="0" applyNumberFormat="1" applyFont="1" applyBorder="1"/>
    <xf numFmtId="0" fontId="5" fillId="0" borderId="0" xfId="0" applyFont="1" applyBorder="1"/>
    <xf numFmtId="5" fontId="5" fillId="0" borderId="0" xfId="0" applyNumberFormat="1" applyFont="1" applyBorder="1"/>
    <xf numFmtId="0" fontId="5" fillId="0" borderId="0" xfId="0" applyFont="1" applyBorder="1" applyAlignment="1">
      <alignment horizontal="centerContinuous"/>
    </xf>
    <xf numFmtId="9" fontId="4" fillId="0" borderId="0" xfId="0" applyNumberFormat="1" applyFont="1" applyBorder="1"/>
    <xf numFmtId="10" fontId="4" fillId="0" borderId="0" xfId="0" applyNumberFormat="1" applyFont="1" applyBorder="1"/>
    <xf numFmtId="10" fontId="0" fillId="0" borderId="0" xfId="0" applyNumberFormat="1"/>
    <xf numFmtId="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0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top style="double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top style="double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right style="double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alignment horizontal="centerContinuous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9" formatCode="&quot;$&quot;#,##0_);\(&quot;$&quot;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right style="double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top style="double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"/>
        <scheme val="none"/>
      </font>
    </dxf>
    <dxf>
      <border outline="0">
        <left style="double">
          <color indexed="64"/>
        </left>
        <top style="double">
          <color indexed="64"/>
        </top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C10" totalsRowShown="0" tableBorderDxfId="108">
  <autoFilter ref="A3:C10" xr:uid="{00000000-0009-0000-0100-000001000000}"/>
  <tableColumns count="3">
    <tableColumn id="1" xr3:uid="{00000000-0010-0000-0000-000001000000}" name="INITIAL INVESTMENT" dataDxfId="107"/>
    <tableColumn id="2" xr3:uid="{00000000-0010-0000-0000-000002000000}" name="Column1" dataDxfId="106"/>
    <tableColumn id="3" xr3:uid="{00000000-0010-0000-0000-000003000000}" name="Column2" dataDxfId="10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821DD-FF76-4950-91F7-270950E346BC}" name="Table10" displayName="Table10" ref="A59:L63" totalsRowShown="0" headerRowDxfId="44" dataDxfId="43">
  <autoFilter ref="A59:L63" xr:uid="{58735646-82DF-4799-916E-FBB9954DF93B}"/>
  <tableColumns count="12">
    <tableColumn id="1" xr3:uid="{D427267E-7DE7-41EA-BFAC-1E6CE47B5AB6}" name="BOOK VALUE &amp; DEPRECIATION" dataDxfId="42"/>
    <tableColumn id="2" xr3:uid="{1C833D06-3FC1-4D90-BFE6-68963F3BB14B}" name="Column2" dataDxfId="41">
      <calculatedColumnFormula>CapBudgWS!C2</calculatedColumnFormula>
    </tableColumn>
    <tableColumn id="3" xr3:uid="{3BBD599A-BC02-46B8-9DDE-BC9145948C3B}" name="Column3" dataDxfId="40"/>
    <tableColumn id="4" xr3:uid="{8E4461FB-EB9C-4B9D-B590-6A6C8F4B92A1}" name="Column4" dataDxfId="39"/>
    <tableColumn id="5" xr3:uid="{732D8D22-5480-4E77-9F19-E65CD991571B}" name="Column1" dataDxfId="38"/>
    <tableColumn id="6" xr3:uid="{207290C1-FAB5-405D-AF5F-889108D9B14A}" name="Column5" dataDxfId="37"/>
    <tableColumn id="7" xr3:uid="{8C1A29F7-9F8C-4715-BAA0-DECE2665BB10}" name="Column6" dataDxfId="36"/>
    <tableColumn id="8" xr3:uid="{709FFF4C-6AF0-461C-B204-DC8E0BB4F62D}" name="Column7" dataDxfId="35"/>
    <tableColumn id="9" xr3:uid="{7666C8B6-BD68-4FEA-874B-13CB78043992}" name="Column8" dataDxfId="34"/>
    <tableColumn id="10" xr3:uid="{04699C45-689E-4A2C-ACB6-4B9EAC79024F}" name="Column9" dataDxfId="33"/>
    <tableColumn id="11" xr3:uid="{A72E04D6-DCA9-49F1-956F-FC6F7E604394}" name="Column10" dataDxfId="32"/>
    <tableColumn id="12" xr3:uid="{D47FBF42-5C9D-4E27-9451-8813DD565D8B}" name="Column11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Table2225" displayName="Table2225" ref="A1:B4" totalsRowShown="0" headerRowDxfId="30" tableBorderDxfId="29">
  <autoFilter ref="A1:B4" xr:uid="{00000000-0009-0000-0100-000018000000}"/>
  <tableColumns count="2">
    <tableColumn id="1" xr3:uid="{00000000-0010-0000-0900-000001000000}" name="Investment Measures" dataDxfId="28"/>
    <tableColumn id="2" xr3:uid="{00000000-0010-0000-0900-000002000000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A000000}" name="Table621" displayName="Table621" ref="A1:L3" totalsRowShown="0" headerRowDxfId="27" dataDxfId="26" tableBorderDxfId="25">
  <autoFilter ref="A1:L3" xr:uid="{00000000-0009-0000-0100-000014000000}"/>
  <tableColumns count="12">
    <tableColumn id="1" xr3:uid="{00000000-0010-0000-0A00-000001000000}" name="GROWTH RATES" dataDxfId="24"/>
    <tableColumn id="2" xr3:uid="{00000000-0010-0000-0A00-000002000000}" name="Column1" dataDxfId="23"/>
    <tableColumn id="3" xr3:uid="{00000000-0010-0000-0A00-000003000000}" name="1" dataDxfId="22"/>
    <tableColumn id="4" xr3:uid="{00000000-0010-0000-0A00-000004000000}" name="2" dataDxfId="21">
      <calculatedColumnFormula>D1</calculatedColumnFormula>
    </tableColumn>
    <tableColumn id="5" xr3:uid="{00000000-0010-0000-0A00-000005000000}" name="3" dataDxfId="20">
      <calculatedColumnFormula>E1</calculatedColumnFormula>
    </tableColumn>
    <tableColumn id="6" xr3:uid="{00000000-0010-0000-0A00-000006000000}" name="4" dataDxfId="19">
      <calculatedColumnFormula>F1</calculatedColumnFormula>
    </tableColumn>
    <tableColumn id="7" xr3:uid="{00000000-0010-0000-0A00-000007000000}" name="5" dataDxfId="18">
      <calculatedColumnFormula>G1</calculatedColumnFormula>
    </tableColumn>
    <tableColumn id="8" xr3:uid="{00000000-0010-0000-0A00-000008000000}" name="6" dataDxfId="17">
      <calculatedColumnFormula>H1</calculatedColumnFormula>
    </tableColumn>
    <tableColumn id="9" xr3:uid="{00000000-0010-0000-0A00-000009000000}" name="7" dataDxfId="16">
      <calculatedColumnFormula>I1</calculatedColumnFormula>
    </tableColumn>
    <tableColumn id="10" xr3:uid="{00000000-0010-0000-0A00-00000A000000}" name="8" dataDxfId="15">
      <calculatedColumnFormula>J1</calculatedColumnFormula>
    </tableColumn>
    <tableColumn id="11" xr3:uid="{00000000-0010-0000-0A00-00000B000000}" name="9" dataDxfId="14">
      <calculatedColumnFormula>K1</calculatedColumnFormula>
    </tableColumn>
    <tableColumn id="12" xr3:uid="{00000000-0010-0000-0A00-00000C000000}" name="10" dataDxfId="13">
      <calculatedColumnFormula>L1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B000000}" name="Table426" displayName="Table426" ref="A1:C4" totalsRowShown="0" tableBorderDxfId="12">
  <autoFilter ref="A1:C4" xr:uid="{00000000-0009-0000-0100-000019000000}"/>
  <tableColumns count="3">
    <tableColumn id="1" xr3:uid="{00000000-0010-0000-0B00-000001000000}" name="WORKING CAPITAL" dataDxfId="11"/>
    <tableColumn id="2" xr3:uid="{00000000-0010-0000-0B00-000002000000}" name="Column1" dataDxfId="10"/>
    <tableColumn id="3" xr3:uid="{00000000-0010-0000-0B00-000003000000}" name="Column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C000000}" name="Table327" displayName="Table327" ref="A1:C9" totalsRowShown="0" tableBorderDxfId="9">
  <autoFilter ref="A1:C9" xr:uid="{00000000-0009-0000-0100-00001A000000}"/>
  <tableColumns count="3">
    <tableColumn id="1" xr3:uid="{00000000-0010-0000-0C00-000001000000}" name="DISCOUNT RATE" dataDxfId="8"/>
    <tableColumn id="2" xr3:uid="{00000000-0010-0000-0C00-000002000000}" name="Column1" dataDxfId="7"/>
    <tableColumn id="3" xr3:uid="{00000000-0010-0000-0C00-000003000000}" name="Column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D000000}" name="Table228" displayName="Table228" ref="A1:C5" totalsRowShown="0" tableBorderDxfId="6">
  <autoFilter ref="A1:C5" xr:uid="{00000000-0009-0000-0100-00001B000000}"/>
  <tableColumns count="3">
    <tableColumn id="1" xr3:uid="{00000000-0010-0000-0D00-000001000000}" name="CASHFLOW DETAILS" dataDxfId="5"/>
    <tableColumn id="2" xr3:uid="{00000000-0010-0000-0D00-000002000000}" name="Column1" dataDxfId="4"/>
    <tableColumn id="3" xr3:uid="{00000000-0010-0000-0D00-000003000000}" name="Column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E000000}" name="Table129" displayName="Table129" ref="A1:C8" totalsRowShown="0" tableBorderDxfId="3">
  <autoFilter ref="A1:C8" xr:uid="{00000000-0009-0000-0100-00001C000000}"/>
  <tableColumns count="3">
    <tableColumn id="1" xr3:uid="{00000000-0010-0000-0E00-000001000000}" name="INITIAL INVESTMENT" dataDxfId="2"/>
    <tableColumn id="2" xr3:uid="{00000000-0010-0000-0E00-000002000000}" name="Column1" dataDxfId="1"/>
    <tableColumn id="3" xr3:uid="{00000000-0010-0000-0E00-000003000000}" name="Column2" dataDxfId="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DFDFB14-D28E-486A-83E6-5780C14E5EB3}" name="Table33" displayName="Table33" ref="A1:L5" totalsRowShown="0">
  <autoFilter ref="A1:L5" xr:uid="{719C870E-AFD0-47CE-AFCE-7F68E2557A8C}"/>
  <tableColumns count="12">
    <tableColumn id="1" xr3:uid="{7D0C45C1-4731-4400-B9CD-2C6AA3BB78C0}" name="BOOK VALUE &amp; DEPRECIATION"/>
    <tableColumn id="2" xr3:uid="{F2403532-B071-4A38-BDCF-F6F3DB6D4CDB}" name="Column2">
      <calculatedColumnFormula>CapBudgWS!C2</calculatedColumnFormula>
    </tableColumn>
    <tableColumn id="3" xr3:uid="{10B50C68-E389-42AF-9513-46B291C96907}" name="Column3"/>
    <tableColumn id="4" xr3:uid="{72C94ED6-8EDC-4FCC-A078-6C31B9871E32}" name="Column4"/>
    <tableColumn id="5" xr3:uid="{C8F8F4D0-EFBF-4D9F-9CC9-5C95B004EEC1}" name="Column1"/>
    <tableColumn id="6" xr3:uid="{3FC336AB-4F4D-4389-AEB5-5CFAD9C9F56E}" name="Column5"/>
    <tableColumn id="7" xr3:uid="{F02C6A7C-C11A-489D-85DE-69745D6F5F49}" name="Column6"/>
    <tableColumn id="8" xr3:uid="{0A3A3522-0400-4DF4-B817-C5F271F2F987}" name="Column7"/>
    <tableColumn id="9" xr3:uid="{15637F2D-E799-434A-B25E-F22679045D98}" name="Column8"/>
    <tableColumn id="10" xr3:uid="{24360AA8-5744-465D-9D1D-87A72A5811E2}" name="Column9"/>
    <tableColumn id="11" xr3:uid="{E0C65D08-83F2-4616-8A0C-0FABE414D5E5}" name="Column10"/>
    <tableColumn id="12" xr3:uid="{BEE6881F-483E-45FB-B567-8A4C0B4F5682}" name="Column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46D8D78-52CE-47B7-B567-D0FAE655CD7C}" name="Table29" displayName="Table29" ref="A1:L15" totalsRowShown="0">
  <autoFilter ref="A1:L15" xr:uid="{A8DC7095-77A7-48D4-8A8D-67CA322C7626}"/>
  <tableColumns count="12">
    <tableColumn id="1" xr3:uid="{FAC938BF-A685-4EFC-8B69-B1AA328AB512}" name="OPERATING CASHFLOWS"/>
    <tableColumn id="2" xr3:uid="{2E1B63B2-1918-4406-9A62-7162991CC7FC}" name="Column1"/>
    <tableColumn id="3" xr3:uid="{BA70B48C-7F59-4EA7-84CF-99A775282663}" name="Column2"/>
    <tableColumn id="4" xr3:uid="{842D4F99-B334-429B-89C8-183F1249DFFC}" name="Column3"/>
    <tableColumn id="5" xr3:uid="{390F472A-2E28-482A-8C2C-16E5B05BF59E}" name="Column4"/>
    <tableColumn id="6" xr3:uid="{DD3B88F1-034B-4F90-A5D1-D5F0C8813439}" name="Column5"/>
    <tableColumn id="7" xr3:uid="{28683AFF-BCAF-47B1-BBCC-68DB6544E37D}" name="Column6"/>
    <tableColumn id="8" xr3:uid="{E72CCBA5-8F3A-47E6-800F-DAFB3C09F26C}" name="Column7"/>
    <tableColumn id="9" xr3:uid="{979731F5-262D-46E7-84A3-38CFBF95973D}" name="Column8"/>
    <tableColumn id="10" xr3:uid="{D1B81584-499F-40C9-B4B6-31CEF63CEF99}" name="Column9"/>
    <tableColumn id="11" xr3:uid="{55B5B70A-4978-4231-9ADC-41A599E95760}" name="Column10"/>
    <tableColumn id="12" xr3:uid="{F06E11E9-AB89-4A65-B613-095F644954A6}" name="Column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3:G7" totalsRowShown="0" tableBorderDxfId="104">
  <autoFilter ref="E3:G7" xr:uid="{00000000-0009-0000-0100-000002000000}"/>
  <tableColumns count="3">
    <tableColumn id="1" xr3:uid="{00000000-0010-0000-0100-000001000000}" name="CASHFLOW DETAILS" dataDxfId="103"/>
    <tableColumn id="2" xr3:uid="{00000000-0010-0000-0100-000002000000}" name="Column1" dataDxfId="102"/>
    <tableColumn id="3" xr3:uid="{00000000-0010-0000-0100-000003000000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I3:K11" totalsRowShown="0" tableBorderDxfId="101">
  <autoFilter ref="I3:K11" xr:uid="{00000000-0009-0000-0100-000003000000}"/>
  <tableColumns count="3">
    <tableColumn id="1" xr3:uid="{00000000-0010-0000-0200-000001000000}" name="DISCOUNT RATE" dataDxfId="100"/>
    <tableColumn id="2" xr3:uid="{00000000-0010-0000-0200-000002000000}" name="Column1" dataDxfId="99"/>
    <tableColumn id="3" xr3:uid="{00000000-0010-0000-0200-000003000000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2:C15" totalsRowShown="0" tableBorderDxfId="98">
  <autoFilter ref="A12:C15" xr:uid="{00000000-0009-0000-0100-000004000000}"/>
  <tableColumns count="3">
    <tableColumn id="1" xr3:uid="{00000000-0010-0000-0300-000001000000}" name="WORKING CAPITAL" dataDxfId="97"/>
    <tableColumn id="2" xr3:uid="{00000000-0010-0000-0300-000002000000}" name="Column1" dataDxfId="96"/>
    <tableColumn id="3" xr3:uid="{00000000-0010-0000-0300-000003000000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8:L20" totalsRowShown="0" headerRowDxfId="95" dataDxfId="94" tableBorderDxfId="93">
  <autoFilter ref="A18:L20" xr:uid="{00000000-0009-0000-0100-000006000000}"/>
  <tableColumns count="12">
    <tableColumn id="1" xr3:uid="{00000000-0010-0000-0400-000001000000}" name="GROWTH RATES" dataDxfId="92"/>
    <tableColumn id="2" xr3:uid="{00000000-0010-0000-0400-000002000000}" name="Column1" dataDxfId="91"/>
    <tableColumn id="3" xr3:uid="{00000000-0010-0000-0400-000003000000}" name="1" dataDxfId="90"/>
    <tableColumn id="4" xr3:uid="{00000000-0010-0000-0400-000004000000}" name="2" dataDxfId="89">
      <calculatedColumnFormula>D18</calculatedColumnFormula>
    </tableColumn>
    <tableColumn id="5" xr3:uid="{00000000-0010-0000-0400-000005000000}" name="3" dataDxfId="88">
      <calculatedColumnFormula>E18</calculatedColumnFormula>
    </tableColumn>
    <tableColumn id="6" xr3:uid="{00000000-0010-0000-0400-000006000000}" name="4" dataDxfId="87">
      <calculatedColumnFormula>F18</calculatedColumnFormula>
    </tableColumn>
    <tableColumn id="7" xr3:uid="{00000000-0010-0000-0400-000007000000}" name="5" dataDxfId="86">
      <calculatedColumnFormula>G18</calculatedColumnFormula>
    </tableColumn>
    <tableColumn id="8" xr3:uid="{00000000-0010-0000-0400-000008000000}" name="6" dataDxfId="85">
      <calculatedColumnFormula>H18</calculatedColumnFormula>
    </tableColumn>
    <tableColumn id="9" xr3:uid="{00000000-0010-0000-0400-000009000000}" name="7" dataDxfId="84">
      <calculatedColumnFormula>I18</calculatedColumnFormula>
    </tableColumn>
    <tableColumn id="10" xr3:uid="{00000000-0010-0000-0400-00000A000000}" name="8" dataDxfId="83">
      <calculatedColumnFormula>J18</calculatedColumnFormula>
    </tableColumn>
    <tableColumn id="11" xr3:uid="{00000000-0010-0000-0400-00000B000000}" name="9" dataDxfId="82">
      <calculatedColumnFormula>K18</calculatedColumnFormula>
    </tableColumn>
    <tableColumn id="12" xr3:uid="{00000000-0010-0000-0400-00000C000000}" name="10" dataDxfId="81">
      <calculatedColumnFormula>L18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24:B31" totalsRowShown="0" headerRowDxfId="80" tableBorderDxfId="79">
  <autoFilter ref="A24:B31" xr:uid="{00000000-0009-0000-0100-000007000000}"/>
  <tableColumns count="2">
    <tableColumn id="1" xr3:uid="{00000000-0010-0000-0500-000001000000}" name="INITIAL INVESTMENT" dataDxfId="78"/>
    <tableColumn id="2" xr3:uid="{00000000-0010-0000-0500-000002000000}" name="Column1" dataDxfId="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33:L35" totalsRowShown="0" headerRowDxfId="76" dataDxfId="75">
  <autoFilter ref="A33:L35" xr:uid="{00000000-0009-0000-0100-000008000000}"/>
  <tableColumns count="12">
    <tableColumn id="1" xr3:uid="{00000000-0010-0000-0600-000001000000}" name="SALVAGE VALUE" dataDxfId="74"/>
    <tableColumn id="2" xr3:uid="{00000000-0010-0000-0600-000002000000}" name="Column1" dataDxfId="73"/>
    <tableColumn id="3" xr3:uid="{00000000-0010-0000-0600-000003000000}" name="Column2" dataDxfId="72">
      <calculatedColumnFormula>IF(CapBudgWS!C23=CapBudgWS!C6,CapBudgWS!C7,0)</calculatedColumnFormula>
    </tableColumn>
    <tableColumn id="4" xr3:uid="{00000000-0010-0000-0600-000004000000}" name="Column3" dataDxfId="71">
      <calculatedColumnFormula>IF(CapBudgWS!D23=CapBudgWS!C6,CapBudgWS!C7,0)</calculatedColumnFormula>
    </tableColumn>
    <tableColumn id="5" xr3:uid="{00000000-0010-0000-0600-000005000000}" name="Column4" dataDxfId="70">
      <calculatedColumnFormula>IF(CapBudgWS!E23=CapBudgWS!C6,CapBudgWS!C7,0)</calculatedColumnFormula>
    </tableColumn>
    <tableColumn id="6" xr3:uid="{00000000-0010-0000-0600-000006000000}" name="Column5" dataDxfId="69">
      <calculatedColumnFormula>IF(CapBudgWS!F23=CapBudgWS!C6,CapBudgWS!C7,0)</calculatedColumnFormula>
    </tableColumn>
    <tableColumn id="7" xr3:uid="{00000000-0010-0000-0600-000007000000}" name="Column6" dataDxfId="68">
      <calculatedColumnFormula>IF(CapBudgWS!G23=CapBudgWS!C6,CapBudgWS!C7,0)</calculatedColumnFormula>
    </tableColumn>
    <tableColumn id="8" xr3:uid="{00000000-0010-0000-0600-000008000000}" name="Column7" dataDxfId="67">
      <calculatedColumnFormula>IF(CapBudgWS!H23=CapBudgWS!C6,CapBudgWS!C7,0)</calculatedColumnFormula>
    </tableColumn>
    <tableColumn id="9" xr3:uid="{00000000-0010-0000-0600-000009000000}" name="Column8" dataDxfId="66">
      <calculatedColumnFormula>IF(CapBudgWS!I23=CapBudgWS!C6,CapBudgWS!C7,0)</calculatedColumnFormula>
    </tableColumn>
    <tableColumn id="10" xr3:uid="{00000000-0010-0000-0600-00000A000000}" name="Column9" dataDxfId="65">
      <calculatedColumnFormula>IF(CapBudgWS!J23=CapBudgWS!C6,CapBudgWS!C7,0)</calculatedColumnFormula>
    </tableColumn>
    <tableColumn id="11" xr3:uid="{00000000-0010-0000-0600-00000B000000}" name="Column10" dataDxfId="64">
      <calculatedColumnFormula>IF(CapBudgWS!K23=CapBudgWS!C6,CapBudgWS!C7,0)</calculatedColumnFormula>
    </tableColumn>
    <tableColumn id="12" xr3:uid="{00000000-0010-0000-0600-00000C000000}" name="Column11" dataDxfId="63">
      <calculatedColumnFormula>IF(CapBudgWS!L23=CapBudgWS!C6,CapBudgWS!C7,0)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37:L51" totalsRowShown="0" headerRowDxfId="62" dataDxfId="61" tableBorderDxfId="60">
  <autoFilter ref="A37:L51" xr:uid="{00000000-0009-0000-0100-000009000000}"/>
  <tableColumns count="12">
    <tableColumn id="1" xr3:uid="{00000000-0010-0000-0700-000001000000}" name="OPERATING CASHFLOWS" dataDxfId="59"/>
    <tableColumn id="2" xr3:uid="{00000000-0010-0000-0700-000002000000}" name="Column1" dataDxfId="58"/>
    <tableColumn id="3" xr3:uid="{00000000-0010-0000-0700-000003000000}" name="Column2" dataDxfId="57"/>
    <tableColumn id="4" xr3:uid="{00000000-0010-0000-0700-000004000000}" name="Column3" dataDxfId="56"/>
    <tableColumn id="5" xr3:uid="{00000000-0010-0000-0700-000005000000}" name="Column4" dataDxfId="55"/>
    <tableColumn id="6" xr3:uid="{00000000-0010-0000-0700-000006000000}" name="Column5" dataDxfId="54"/>
    <tableColumn id="7" xr3:uid="{00000000-0010-0000-0700-000007000000}" name="Column6" dataDxfId="53"/>
    <tableColumn id="8" xr3:uid="{00000000-0010-0000-0700-000008000000}" name="Column7" dataDxfId="52"/>
    <tableColumn id="9" xr3:uid="{00000000-0010-0000-0700-000009000000}" name="Column8" dataDxfId="51"/>
    <tableColumn id="10" xr3:uid="{00000000-0010-0000-0700-00000A000000}" name="Column9" dataDxfId="50"/>
    <tableColumn id="11" xr3:uid="{00000000-0010-0000-0700-00000B000000}" name="Column10" dataDxfId="49"/>
    <tableColumn id="12" xr3:uid="{00000000-0010-0000-0700-00000C000000}" name="Column11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8000000}" name="Table22" displayName="Table22" ref="B53:C56" totalsRowShown="0" headerRowDxfId="47" tableBorderDxfId="46">
  <autoFilter ref="B53:C56" xr:uid="{00000000-0009-0000-0100-000016000000}"/>
  <tableColumns count="2">
    <tableColumn id="1" xr3:uid="{00000000-0010-0000-0800-000001000000}" name="Investment Measures" dataDxfId="45"/>
    <tableColumn id="2" xr3:uid="{00000000-0010-0000-0800-000002000000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5"/>
  <sheetViews>
    <sheetView showGridLines="0" topLeftCell="A26" workbookViewId="0">
      <selection activeCell="D43" sqref="D43"/>
    </sheetView>
  </sheetViews>
  <sheetFormatPr defaultRowHeight="12.5"/>
  <cols>
    <col min="1" max="1" width="34.36328125" customWidth="1"/>
    <col min="2" max="2" width="19.26953125" customWidth="1"/>
    <col min="3" max="4" width="10.90625" customWidth="1"/>
    <col min="5" max="5" width="31" customWidth="1"/>
    <col min="6" max="8" width="10.90625" customWidth="1"/>
    <col min="9" max="9" width="17.26953125" customWidth="1"/>
    <col min="10" max="256" width="10.90625" customWidth="1"/>
  </cols>
  <sheetData>
    <row r="1" spans="1:13" s="26" customFormat="1" ht="22.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s="5" customFormat="1" ht="20" customHeight="1">
      <c r="A2" s="3"/>
      <c r="B2" s="3"/>
      <c r="C2" s="3"/>
      <c r="D2" s="3"/>
      <c r="E2" s="4" t="s">
        <v>1</v>
      </c>
      <c r="F2" s="3"/>
      <c r="G2" s="3"/>
      <c r="H2" s="3"/>
      <c r="I2" s="3"/>
      <c r="J2" s="3"/>
      <c r="K2" s="3"/>
      <c r="L2" s="3"/>
      <c r="M2" s="3"/>
    </row>
    <row r="3" spans="1:13" s="5" customFormat="1" ht="20" customHeight="1">
      <c r="A3" s="16" t="s">
        <v>2</v>
      </c>
      <c r="B3" s="9" t="s">
        <v>68</v>
      </c>
      <c r="C3" s="39" t="s">
        <v>69</v>
      </c>
      <c r="D3" s="3"/>
      <c r="E3" s="16" t="s">
        <v>3</v>
      </c>
      <c r="F3" s="9" t="s">
        <v>68</v>
      </c>
      <c r="G3" s="39" t="s">
        <v>69</v>
      </c>
      <c r="H3" s="3"/>
      <c r="I3" s="31" t="s">
        <v>4</v>
      </c>
      <c r="J3" s="9" t="s">
        <v>68</v>
      </c>
      <c r="K3" s="22" t="s">
        <v>69</v>
      </c>
      <c r="L3" s="3"/>
      <c r="M3" s="3"/>
    </row>
    <row r="4" spans="1:13" s="5" customFormat="1" ht="20" customHeight="1">
      <c r="A4" s="9" t="s">
        <v>5</v>
      </c>
      <c r="B4" s="9"/>
      <c r="C4" s="10">
        <v>50000</v>
      </c>
      <c r="D4" s="3"/>
      <c r="E4" s="9" t="s">
        <v>6</v>
      </c>
      <c r="F4" s="9"/>
      <c r="G4" s="10">
        <v>40000</v>
      </c>
      <c r="H4" s="3"/>
      <c r="I4" s="31" t="s">
        <v>7</v>
      </c>
      <c r="J4" s="9"/>
      <c r="K4" s="32">
        <v>2</v>
      </c>
      <c r="L4" s="3"/>
      <c r="M4" s="3"/>
    </row>
    <row r="5" spans="1:13" s="5" customFormat="1" ht="20" customHeight="1">
      <c r="A5" s="9" t="s">
        <v>8</v>
      </c>
      <c r="B5" s="9"/>
      <c r="C5" s="10">
        <v>7484</v>
      </c>
      <c r="D5" s="3"/>
      <c r="E5" s="9" t="s">
        <v>9</v>
      </c>
      <c r="F5" s="9"/>
      <c r="G5" s="11">
        <v>0.5</v>
      </c>
      <c r="H5" s="3"/>
      <c r="I5" s="21" t="s">
        <v>10</v>
      </c>
      <c r="J5" s="9"/>
      <c r="K5" s="33">
        <v>0.1</v>
      </c>
      <c r="L5" s="3"/>
      <c r="M5" s="3"/>
    </row>
    <row r="6" spans="1:13" s="5" customFormat="1" ht="20" customHeight="1">
      <c r="A6" s="9" t="s">
        <v>11</v>
      </c>
      <c r="B6" s="9"/>
      <c r="C6" s="12">
        <v>10</v>
      </c>
      <c r="D6" s="3"/>
      <c r="E6" s="9" t="s">
        <v>12</v>
      </c>
      <c r="F6" s="9"/>
      <c r="G6" s="12">
        <v>0</v>
      </c>
      <c r="H6" s="3"/>
      <c r="I6" s="21" t="s">
        <v>13</v>
      </c>
      <c r="J6" s="9"/>
      <c r="K6" s="32">
        <v>0.9</v>
      </c>
      <c r="L6" s="3"/>
      <c r="M6" s="3"/>
    </row>
    <row r="7" spans="1:13" s="5" customFormat="1" ht="20" customHeight="1" thickBot="1">
      <c r="A7" s="9" t="s">
        <v>14</v>
      </c>
      <c r="B7" s="9"/>
      <c r="C7" s="10">
        <v>10000</v>
      </c>
      <c r="D7" s="3"/>
      <c r="E7" s="14" t="s">
        <v>15</v>
      </c>
      <c r="F7" s="14"/>
      <c r="G7" s="11">
        <v>0.4</v>
      </c>
      <c r="H7" s="3"/>
      <c r="I7" s="21" t="s">
        <v>16</v>
      </c>
      <c r="J7" s="9"/>
      <c r="K7" s="34">
        <v>0.08</v>
      </c>
      <c r="L7" s="3"/>
      <c r="M7" s="3"/>
    </row>
    <row r="8" spans="1:13" s="5" customFormat="1" ht="20" customHeight="1" thickTop="1">
      <c r="A8" s="9" t="s">
        <v>17</v>
      </c>
      <c r="B8" s="9"/>
      <c r="C8" s="12">
        <v>2</v>
      </c>
      <c r="D8" s="3"/>
      <c r="E8" s="3" t="s">
        <v>18</v>
      </c>
      <c r="F8" s="3"/>
      <c r="G8" s="15"/>
      <c r="H8" s="3"/>
      <c r="I8" s="21" t="s">
        <v>19</v>
      </c>
      <c r="J8" s="9"/>
      <c r="K8" s="34">
        <v>5.5E-2</v>
      </c>
      <c r="L8" s="3"/>
      <c r="M8" s="3"/>
    </row>
    <row r="9" spans="1:13" s="5" customFormat="1" ht="20" customHeight="1">
      <c r="A9" s="9" t="s">
        <v>20</v>
      </c>
      <c r="B9" s="9"/>
      <c r="C9" s="11">
        <v>0.1</v>
      </c>
      <c r="D9" s="3"/>
      <c r="E9" s="3" t="s">
        <v>21</v>
      </c>
      <c r="F9" s="3"/>
      <c r="G9" s="15"/>
      <c r="H9" s="3"/>
      <c r="I9" s="21" t="s">
        <v>22</v>
      </c>
      <c r="J9" s="9"/>
      <c r="K9" s="35">
        <v>0.3</v>
      </c>
      <c r="L9" s="3"/>
      <c r="M9" s="3"/>
    </row>
    <row r="10" spans="1:13" s="5" customFormat="1" ht="20" customHeight="1" thickBot="1">
      <c r="A10" s="14" t="s">
        <v>23</v>
      </c>
      <c r="B10" s="14"/>
      <c r="C10" s="12">
        <v>0</v>
      </c>
      <c r="D10" s="3"/>
      <c r="E10" s="3"/>
      <c r="F10" s="3"/>
      <c r="G10" s="15"/>
      <c r="H10" s="3"/>
      <c r="I10" s="25" t="s">
        <v>24</v>
      </c>
      <c r="J10" s="36"/>
      <c r="K10" s="37">
        <v>0.09</v>
      </c>
      <c r="L10" s="3"/>
      <c r="M10" s="3"/>
    </row>
    <row r="11" spans="1:13" s="5" customFormat="1" ht="20" customHeight="1" thickTop="1">
      <c r="A11" s="3"/>
      <c r="B11" s="3"/>
      <c r="C11" s="15"/>
      <c r="D11" s="3"/>
      <c r="E11"/>
      <c r="F11"/>
      <c r="G11"/>
      <c r="H11"/>
      <c r="I11" s="3" t="s">
        <v>25</v>
      </c>
      <c r="J11" s="3"/>
      <c r="K11" s="30">
        <f>IF(CapBudgWS!K4=1,CapBudgWS!K5,(CapBudgWS!K7+CapBudgWS!K6*CapBudgWS!K8)*(1-CapBudgWS!K9)+CapBudgWS!K10*(1-CapBudgWS!G7)*CapBudgWS!K9)</f>
        <v>0.10685</v>
      </c>
      <c r="L11" s="3"/>
      <c r="M11" s="3"/>
    </row>
    <row r="12" spans="1:13" s="5" customFormat="1" ht="20" customHeight="1">
      <c r="A12" s="16" t="s">
        <v>26</v>
      </c>
      <c r="B12" s="9" t="s">
        <v>68</v>
      </c>
      <c r="C12" s="42" t="s">
        <v>69</v>
      </c>
      <c r="D12" s="3"/>
      <c r="E12"/>
      <c r="F12"/>
      <c r="G12"/>
      <c r="H12"/>
      <c r="I12"/>
      <c r="J12" s="3"/>
      <c r="K12" s="3"/>
      <c r="L12" s="3"/>
      <c r="M12" s="3"/>
    </row>
    <row r="13" spans="1:13" s="5" customFormat="1" ht="20" customHeight="1">
      <c r="A13" s="9" t="s">
        <v>27</v>
      </c>
      <c r="B13" s="9"/>
      <c r="C13" s="40">
        <v>10000</v>
      </c>
      <c r="D13" s="3"/>
      <c r="E13"/>
      <c r="F13"/>
      <c r="G13"/>
      <c r="H13"/>
      <c r="I13"/>
      <c r="J13" s="3"/>
      <c r="K13" s="3"/>
      <c r="L13" s="3"/>
      <c r="M13" s="3"/>
    </row>
    <row r="14" spans="1:13" s="5" customFormat="1" ht="20" customHeight="1">
      <c r="A14" s="9" t="s">
        <v>28</v>
      </c>
      <c r="B14" s="9"/>
      <c r="C14" s="41">
        <v>0.25</v>
      </c>
      <c r="D14" s="3"/>
      <c r="E14"/>
      <c r="F14"/>
      <c r="G14"/>
      <c r="H14"/>
      <c r="I14"/>
      <c r="J14" s="3"/>
      <c r="K14" s="3"/>
      <c r="L14" s="3"/>
      <c r="M14" s="3"/>
    </row>
    <row r="15" spans="1:13" s="5" customFormat="1" ht="20" customHeight="1">
      <c r="A15" s="9" t="s">
        <v>29</v>
      </c>
      <c r="B15" s="9"/>
      <c r="C15" s="41">
        <v>1</v>
      </c>
      <c r="D15" s="3"/>
      <c r="E15"/>
      <c r="F15"/>
      <c r="G15"/>
      <c r="H15"/>
      <c r="I15"/>
      <c r="J15" s="3"/>
      <c r="K15" s="3"/>
      <c r="L15" s="3"/>
      <c r="M15" s="3"/>
    </row>
    <row r="16" spans="1:13" s="5" customFormat="1" ht="20" customHeight="1" thickBot="1">
      <c r="A16" s="3"/>
      <c r="B16" s="3"/>
      <c r="C16" s="3"/>
      <c r="D16" s="3"/>
      <c r="E16" s="3"/>
      <c r="F16" s="3"/>
      <c r="G16" s="3"/>
      <c r="H16" s="3"/>
      <c r="I16"/>
      <c r="J16" s="3"/>
      <c r="K16" s="3"/>
      <c r="L16" s="3"/>
      <c r="M16" s="3"/>
    </row>
    <row r="17" spans="1:13" s="5" customFormat="1" ht="20" customHeight="1" thickTop="1" thickBo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3"/>
    </row>
    <row r="18" spans="1:13" s="1" customFormat="1" ht="20" customHeight="1" thickTop="1">
      <c r="A18" s="38" t="s">
        <v>30</v>
      </c>
      <c r="B18" s="16" t="s">
        <v>68</v>
      </c>
      <c r="C18" s="16" t="s">
        <v>70</v>
      </c>
      <c r="D18" s="16" t="s">
        <v>71</v>
      </c>
      <c r="E18" s="16" t="s">
        <v>72</v>
      </c>
      <c r="F18" s="16" t="s">
        <v>73</v>
      </c>
      <c r="G18" s="16" t="s">
        <v>74</v>
      </c>
      <c r="H18" s="16" t="s">
        <v>75</v>
      </c>
      <c r="I18" s="16" t="s">
        <v>76</v>
      </c>
      <c r="J18" s="16" t="s">
        <v>77</v>
      </c>
      <c r="K18" s="16" t="s">
        <v>78</v>
      </c>
      <c r="L18" s="16" t="s">
        <v>79</v>
      </c>
      <c r="M18" s="17"/>
    </row>
    <row r="19" spans="1:13" s="5" customFormat="1" ht="20" customHeight="1">
      <c r="A19" s="9" t="s">
        <v>31</v>
      </c>
      <c r="B19" s="9"/>
      <c r="C19" s="9" t="s">
        <v>32</v>
      </c>
      <c r="D19" s="18">
        <v>0.1</v>
      </c>
      <c r="E19" s="18">
        <v>0.1</v>
      </c>
      <c r="F19" s="18">
        <v>0.1</v>
      </c>
      <c r="G19" s="18">
        <v>0.1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3"/>
    </row>
    <row r="20" spans="1:13" s="5" customFormat="1" ht="20" customHeight="1">
      <c r="A20" s="9" t="s">
        <v>33</v>
      </c>
      <c r="B20" s="9"/>
      <c r="C20" s="9" t="s">
        <v>32</v>
      </c>
      <c r="D20" s="18">
        <f>CapBudgWS!D19</f>
        <v>0.1</v>
      </c>
      <c r="E20" s="18">
        <f>CapBudgWS!E19</f>
        <v>0.1</v>
      </c>
      <c r="F20" s="18">
        <f>CapBudgWS!F19</f>
        <v>0.1</v>
      </c>
      <c r="G20" s="18">
        <f>CapBudgWS!G19</f>
        <v>0.1</v>
      </c>
      <c r="H20" s="18">
        <f>CapBudgWS!H19</f>
        <v>0</v>
      </c>
      <c r="I20" s="18">
        <f>CapBudgWS!I19</f>
        <v>0</v>
      </c>
      <c r="J20" s="18">
        <f>CapBudgWS!J19</f>
        <v>0</v>
      </c>
      <c r="K20" s="18">
        <f>CapBudgWS!K19</f>
        <v>0</v>
      </c>
      <c r="L20" s="18">
        <f>CapBudgWS!L19</f>
        <v>0</v>
      </c>
      <c r="M20" s="3"/>
    </row>
    <row r="21" spans="1:13" s="5" customFormat="1" ht="20" customHeight="1" thickBot="1">
      <c r="A21" s="13" t="s">
        <v>34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9"/>
      <c r="M21" s="3"/>
    </row>
    <row r="22" spans="1:13" s="5" customFormat="1" ht="13.5" thickTop="1">
      <c r="A22" s="3"/>
      <c r="B22" s="3"/>
      <c r="C22" s="3"/>
      <c r="D22" s="3"/>
      <c r="E22" s="3"/>
      <c r="F22" s="3" t="s">
        <v>35</v>
      </c>
      <c r="G22" s="3"/>
      <c r="H22" s="3"/>
      <c r="I22" s="3"/>
      <c r="J22" s="3"/>
      <c r="K22" s="3"/>
      <c r="L22" s="3"/>
      <c r="M22" s="3"/>
    </row>
    <row r="23" spans="1:13" s="5" customFormat="1" ht="13">
      <c r="A23" s="3"/>
      <c r="B23" s="3">
        <v>0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K23" s="3">
        <v>9</v>
      </c>
      <c r="L23" s="3">
        <v>10</v>
      </c>
      <c r="M23" s="3"/>
    </row>
    <row r="24" spans="1:13" s="5" customFormat="1" ht="13">
      <c r="A24" s="3" t="s">
        <v>2</v>
      </c>
      <c r="B24" s="3" t="s">
        <v>68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5" customFormat="1" ht="13">
      <c r="A25" s="28" t="s">
        <v>36</v>
      </c>
      <c r="B25" s="29">
        <f>CapBudgWS!C4</f>
        <v>50000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5" customFormat="1" ht="13">
      <c r="A26" s="28" t="s">
        <v>37</v>
      </c>
      <c r="B26" s="29">
        <f>CapBudgWS!C4*CapBudgWS!C9</f>
        <v>5000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5" customFormat="1" ht="13">
      <c r="A27" s="28" t="s">
        <v>38</v>
      </c>
      <c r="B27" s="29">
        <f>CapBudgWS!B25-CapBudgWS!B26</f>
        <v>45000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5" customFormat="1" ht="13">
      <c r="A28" s="28" t="s">
        <v>39</v>
      </c>
      <c r="B28" s="29">
        <f>CapBudgWS!C13</f>
        <v>10000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5" customFormat="1" ht="13">
      <c r="A29" s="28" t="s">
        <v>40</v>
      </c>
      <c r="B29" s="29">
        <f>CapBudgWS!C5</f>
        <v>7484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5" customFormat="1" ht="13">
      <c r="A30" s="28" t="s">
        <v>41</v>
      </c>
      <c r="B30" s="29">
        <f>CapBudgWS!C10</f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5" customFormat="1" ht="13">
      <c r="A31" s="43" t="s">
        <v>42</v>
      </c>
      <c r="B31" s="44">
        <f>CapBudgWS!B27+CapBudgWS!B28+CapBudgWS!B29+CapBudgWS!B30</f>
        <v>62484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5" customFormat="1" ht="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5" customFormat="1" ht="13">
      <c r="A33" s="3" t="s">
        <v>43</v>
      </c>
      <c r="B33" s="3" t="s">
        <v>68</v>
      </c>
      <c r="C33" s="3" t="s">
        <v>69</v>
      </c>
      <c r="D33" s="3" t="s">
        <v>80</v>
      </c>
      <c r="E33" s="3" t="s">
        <v>81</v>
      </c>
      <c r="F33" s="3" t="s">
        <v>82</v>
      </c>
      <c r="G33" s="3" t="s">
        <v>83</v>
      </c>
      <c r="H33" s="3" t="s">
        <v>84</v>
      </c>
      <c r="I33" s="3" t="s">
        <v>85</v>
      </c>
      <c r="J33" s="3" t="s">
        <v>86</v>
      </c>
      <c r="K33" s="3" t="s">
        <v>87</v>
      </c>
      <c r="L33" s="3" t="s">
        <v>88</v>
      </c>
      <c r="M33" s="3"/>
    </row>
    <row r="34" spans="1:13" s="5" customFormat="1" ht="13">
      <c r="A34" s="3" t="s">
        <v>44</v>
      </c>
      <c r="B34" s="3"/>
      <c r="C34" s="20">
        <f>IF(CapBudgWS!C23=CapBudgWS!C6,CapBudgWS!C7,0)</f>
        <v>0</v>
      </c>
      <c r="D34" s="20">
        <f>IF(CapBudgWS!D23=CapBudgWS!C6,CapBudgWS!C7,0)</f>
        <v>0</v>
      </c>
      <c r="E34" s="20">
        <f>IF(CapBudgWS!E23=CapBudgWS!C6,CapBudgWS!C7,0)</f>
        <v>0</v>
      </c>
      <c r="F34" s="20">
        <f>IF(CapBudgWS!F23=CapBudgWS!C6,CapBudgWS!C7,0)</f>
        <v>0</v>
      </c>
      <c r="G34" s="20">
        <f>IF(CapBudgWS!G23=CapBudgWS!C6,CapBudgWS!C7,0)</f>
        <v>0</v>
      </c>
      <c r="H34" s="20">
        <f>IF(CapBudgWS!H23=CapBudgWS!C6,CapBudgWS!C7,0)</f>
        <v>0</v>
      </c>
      <c r="I34" s="20">
        <f>IF(CapBudgWS!I23=CapBudgWS!C6,CapBudgWS!C7,0)</f>
        <v>0</v>
      </c>
      <c r="J34" s="20">
        <f>IF(CapBudgWS!J23=CapBudgWS!C6,CapBudgWS!C7,0)</f>
        <v>0</v>
      </c>
      <c r="K34" s="20">
        <f>IF(CapBudgWS!K23=CapBudgWS!C6,CapBudgWS!C7,0)</f>
        <v>0</v>
      </c>
      <c r="L34" s="20">
        <f>IF(CapBudgWS!L23=CapBudgWS!C6,CapBudgWS!C7,0)</f>
        <v>10000</v>
      </c>
      <c r="M34" s="3"/>
    </row>
    <row r="35" spans="1:13" s="5" customFormat="1" ht="13">
      <c r="A35" s="3" t="s">
        <v>45</v>
      </c>
      <c r="B35" s="3"/>
      <c r="C35" s="20">
        <f>IF(CapBudgWS!C24=CapBudgWS!C7,CapBudgWS!C8,0)</f>
        <v>0</v>
      </c>
      <c r="D35" s="20">
        <f>IF(CapBudgWS!D24=CapBudgWS!C7,CapBudgWS!C8,0)</f>
        <v>0</v>
      </c>
      <c r="E35" s="20">
        <f>IF(CapBudgWS!E24=CapBudgWS!C7,CapBudgWS!C8,0)</f>
        <v>0</v>
      </c>
      <c r="F35" s="20">
        <f>IF(CapBudgWS!F24=CapBudgWS!C7,CapBudgWS!C8,0)</f>
        <v>0</v>
      </c>
      <c r="G35" s="20">
        <f>IF(CapBudgWS!G24=CapBudgWS!C7,CapBudgWS!C8,0)</f>
        <v>0</v>
      </c>
      <c r="H35" s="20">
        <f>IF(CapBudgWS!H24=CapBudgWS!C7,CapBudgWS!C8,0)</f>
        <v>0</v>
      </c>
      <c r="I35" s="20">
        <f>IF(CapBudgWS!I24=CapBudgWS!C7,CapBudgWS!C8,0)</f>
        <v>0</v>
      </c>
      <c r="J35" s="20">
        <f>IF(CapBudgWS!J24=CapBudgWS!C7,CapBudgWS!C8,0)</f>
        <v>0</v>
      </c>
      <c r="K35" s="20">
        <f>IF(CapBudgWS!K24=CapBudgWS!C7,CapBudgWS!C8,0)</f>
        <v>0</v>
      </c>
      <c r="L35" s="20">
        <f>IF(CapBudgWS!L24=CapBudgWS!C7,CapBudgWS!C8,0)</f>
        <v>0</v>
      </c>
      <c r="M35" s="3"/>
    </row>
    <row r="36" spans="1:13" s="5" customFormat="1" ht="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5" customFormat="1" ht="13">
      <c r="A37" s="9" t="s">
        <v>46</v>
      </c>
      <c r="B37" s="9" t="s">
        <v>68</v>
      </c>
      <c r="C37" s="9" t="s">
        <v>69</v>
      </c>
      <c r="D37" s="9" t="s">
        <v>80</v>
      </c>
      <c r="E37" s="9" t="s">
        <v>81</v>
      </c>
      <c r="F37" s="9" t="s">
        <v>82</v>
      </c>
      <c r="G37" s="9" t="s">
        <v>83</v>
      </c>
      <c r="H37" s="9" t="s">
        <v>84</v>
      </c>
      <c r="I37" s="9" t="s">
        <v>85</v>
      </c>
      <c r="J37" s="9" t="s">
        <v>86</v>
      </c>
      <c r="K37" s="9" t="s">
        <v>87</v>
      </c>
      <c r="L37" s="22" t="s">
        <v>88</v>
      </c>
      <c r="M37" s="3"/>
    </row>
    <row r="38" spans="1:13" s="5" customFormat="1" ht="13">
      <c r="A38" s="9" t="s">
        <v>47</v>
      </c>
      <c r="B38" s="9"/>
      <c r="C38" s="9">
        <f>IF(CapBudgWS!C23&gt;CapBudgWS!C6,0,1)</f>
        <v>1</v>
      </c>
      <c r="D38" s="9">
        <f>IF(CapBudgWS!D23&gt;CapBudgWS!C6,0,1)</f>
        <v>1</v>
      </c>
      <c r="E38" s="9">
        <f>IF(CapBudgWS!E23&gt;CapBudgWS!C6,0,1)</f>
        <v>1</v>
      </c>
      <c r="F38" s="9">
        <f>IF(CapBudgWS!F23&gt;CapBudgWS!C6,0,1)</f>
        <v>1</v>
      </c>
      <c r="G38" s="9">
        <f>IF(CapBudgWS!G23&gt;CapBudgWS!C6,0,1)</f>
        <v>1</v>
      </c>
      <c r="H38" s="9">
        <f>IF(CapBudgWS!H23&gt;CapBudgWS!C6,0,1)</f>
        <v>1</v>
      </c>
      <c r="I38" s="9">
        <f>IF(CapBudgWS!I23&gt;CapBudgWS!C6,0,1)</f>
        <v>1</v>
      </c>
      <c r="J38" s="9">
        <f>IF(CapBudgWS!J23&gt;CapBudgWS!C6,0,1)</f>
        <v>1</v>
      </c>
      <c r="K38" s="9">
        <f>IF(CapBudgWS!K23&gt;CapBudgWS!C6,0,1)</f>
        <v>1</v>
      </c>
      <c r="L38" s="22">
        <f>IF(CapBudgWS!L23&gt;CapBudgWS!C6,0,1)</f>
        <v>1</v>
      </c>
      <c r="M38" s="3"/>
    </row>
    <row r="39" spans="1:13" s="5" customFormat="1" ht="13">
      <c r="A39" s="9" t="s">
        <v>31</v>
      </c>
      <c r="B39" s="23"/>
      <c r="C39" s="23">
        <f>CapBudgWS!G4</f>
        <v>40000</v>
      </c>
      <c r="D39" s="23">
        <f>CapBudgWS!C39*(1+CapBudgWS!D19)*CapBudgWS!D38</f>
        <v>44000</v>
      </c>
      <c r="E39" s="23">
        <f>CapBudgWS!D39*(1+CapBudgWS!E19)*CapBudgWS!E38</f>
        <v>48400.000000000007</v>
      </c>
      <c r="F39" s="23">
        <f>CapBudgWS!E39*(1+CapBudgWS!F19)*CapBudgWS!F38</f>
        <v>53240.000000000015</v>
      </c>
      <c r="G39" s="23">
        <f>CapBudgWS!F39*(1+CapBudgWS!G19)*CapBudgWS!G38</f>
        <v>58564.000000000022</v>
      </c>
      <c r="H39" s="23">
        <f>CapBudgWS!G39*(1+CapBudgWS!H19)*CapBudgWS!H38</f>
        <v>58564.000000000022</v>
      </c>
      <c r="I39" s="23">
        <f>CapBudgWS!H39*(1+CapBudgWS!I19)*CapBudgWS!I38</f>
        <v>58564.000000000022</v>
      </c>
      <c r="J39" s="23">
        <f>CapBudgWS!I39*(1+CapBudgWS!J19)*CapBudgWS!J38</f>
        <v>58564.000000000022</v>
      </c>
      <c r="K39" s="23">
        <f>CapBudgWS!J39*(1+CapBudgWS!K19)*CapBudgWS!K38</f>
        <v>58564.000000000022</v>
      </c>
      <c r="L39" s="24">
        <f>CapBudgWS!K39*(1+CapBudgWS!L19)*CapBudgWS!L38</f>
        <v>58564.000000000022</v>
      </c>
      <c r="M39" s="3"/>
    </row>
    <row r="40" spans="1:13" s="5" customFormat="1" ht="13">
      <c r="A40" s="9" t="s">
        <v>48</v>
      </c>
      <c r="B40" s="23"/>
      <c r="C40" s="23">
        <f>CapBudgWS!C39*CapBudgWS!G5</f>
        <v>20000</v>
      </c>
      <c r="D40" s="23">
        <f>CapBudgWS!D39*CapBudgWS!G5</f>
        <v>22000</v>
      </c>
      <c r="E40" s="23">
        <f>CapBudgWS!E39*CapBudgWS!G5</f>
        <v>24200.000000000004</v>
      </c>
      <c r="F40" s="23">
        <f>CapBudgWS!F39*CapBudgWS!G5</f>
        <v>26620.000000000007</v>
      </c>
      <c r="G40" s="23">
        <f>CapBudgWS!G39*CapBudgWS!G5</f>
        <v>29282.000000000011</v>
      </c>
      <c r="H40" s="23">
        <f>CapBudgWS!H39*CapBudgWS!G5</f>
        <v>29282.000000000011</v>
      </c>
      <c r="I40" s="23">
        <f>CapBudgWS!I39*CapBudgWS!G5</f>
        <v>29282.000000000011</v>
      </c>
      <c r="J40" s="23">
        <f>CapBudgWS!J39*CapBudgWS!G5</f>
        <v>29282.000000000011</v>
      </c>
      <c r="K40" s="23">
        <f>CapBudgWS!K39*CapBudgWS!G5</f>
        <v>29282.000000000011</v>
      </c>
      <c r="L40" s="24">
        <f>CapBudgWS!L39*CapBudgWS!G5</f>
        <v>29282.000000000011</v>
      </c>
      <c r="M40" s="3"/>
    </row>
    <row r="41" spans="1:13" s="5" customFormat="1" ht="13">
      <c r="A41" s="9" t="s">
        <v>49</v>
      </c>
      <c r="B41" s="23"/>
      <c r="C41" s="23">
        <f>CapBudgWS!G6</f>
        <v>0</v>
      </c>
      <c r="D41" s="23">
        <f>CapBudgWS!C41*(1+CapBudgWS!D20)*CapBudgWS!D38</f>
        <v>0</v>
      </c>
      <c r="E41" s="23">
        <f>CapBudgWS!D41*(1+CapBudgWS!E20)*CapBudgWS!E38</f>
        <v>0</v>
      </c>
      <c r="F41" s="23">
        <f>CapBudgWS!E41*(1+CapBudgWS!F20)*CapBudgWS!F38</f>
        <v>0</v>
      </c>
      <c r="G41" s="23">
        <f>CapBudgWS!F41*(1+CapBudgWS!G20)*CapBudgWS!G38</f>
        <v>0</v>
      </c>
      <c r="H41" s="23">
        <f>CapBudgWS!G41*(1+CapBudgWS!H20)*CapBudgWS!H38</f>
        <v>0</v>
      </c>
      <c r="I41" s="23">
        <f>CapBudgWS!H41*(1+CapBudgWS!I20)*CapBudgWS!I38</f>
        <v>0</v>
      </c>
      <c r="J41" s="23">
        <f>CapBudgWS!I41*(1+CapBudgWS!J20)*CapBudgWS!J38</f>
        <v>0</v>
      </c>
      <c r="K41" s="23">
        <f>CapBudgWS!J41*(1+CapBudgWS!K20)*CapBudgWS!K38</f>
        <v>0</v>
      </c>
      <c r="L41" s="24">
        <f>CapBudgWS!K41*(1+CapBudgWS!L20)*CapBudgWS!L38</f>
        <v>0</v>
      </c>
      <c r="M41" s="3"/>
    </row>
    <row r="42" spans="1:13" s="5" customFormat="1" ht="13">
      <c r="A42" s="9" t="s">
        <v>50</v>
      </c>
      <c r="B42" s="23"/>
      <c r="C42" s="23">
        <f>CapBudgWS!C39-CapBudgWS!C40-CapBudgWS!C41</f>
        <v>20000</v>
      </c>
      <c r="D42" s="23">
        <f>CapBudgWS!D39-CapBudgWS!D40-CapBudgWS!D41</f>
        <v>22000</v>
      </c>
      <c r="E42" s="23">
        <f>CapBudgWS!E39-CapBudgWS!E40-CapBudgWS!E41</f>
        <v>24200.000000000004</v>
      </c>
      <c r="F42" s="23">
        <f>CapBudgWS!F39-CapBudgWS!F40-CapBudgWS!F41</f>
        <v>26620.000000000007</v>
      </c>
      <c r="G42" s="23">
        <f>CapBudgWS!G39-CapBudgWS!G40-CapBudgWS!G41</f>
        <v>29282.000000000011</v>
      </c>
      <c r="H42" s="23">
        <f>CapBudgWS!H39-CapBudgWS!H40-CapBudgWS!H41</f>
        <v>29282.000000000011</v>
      </c>
      <c r="I42" s="23">
        <f>CapBudgWS!I39-CapBudgWS!I40-CapBudgWS!I41</f>
        <v>29282.000000000011</v>
      </c>
      <c r="J42" s="23">
        <f>CapBudgWS!J39-CapBudgWS!J40-CapBudgWS!J41</f>
        <v>29282.000000000011</v>
      </c>
      <c r="K42" s="23">
        <f>CapBudgWS!K39-CapBudgWS!K40-CapBudgWS!K41</f>
        <v>29282.000000000011</v>
      </c>
      <c r="L42" s="24">
        <f>CapBudgWS!L39-CapBudgWS!L40-CapBudgWS!L41</f>
        <v>29282.000000000011</v>
      </c>
      <c r="M42" s="3"/>
    </row>
    <row r="43" spans="1:13" s="5" customFormat="1" ht="13">
      <c r="A43" s="9" t="s">
        <v>51</v>
      </c>
      <c r="B43" s="23"/>
      <c r="C43" s="23">
        <f>CapBudgWS!C61</f>
        <v>10000</v>
      </c>
      <c r="D43" s="23">
        <f>CapBudgWS!D61</f>
        <v>8000</v>
      </c>
      <c r="E43" s="23">
        <f>CapBudgWS!E61</f>
        <v>6400.0000000000018</v>
      </c>
      <c r="F43" s="23">
        <f>CapBudgWS!F61</f>
        <v>5120.0000000000018</v>
      </c>
      <c r="G43" s="23">
        <f>CapBudgWS!G61</f>
        <v>4096.0000000000027</v>
      </c>
      <c r="H43" s="23">
        <f>CapBudgWS!H61</f>
        <v>3276.8000000000025</v>
      </c>
      <c r="I43" s="23">
        <f>CapBudgWS!I61</f>
        <v>2621.4400000000019</v>
      </c>
      <c r="J43" s="23">
        <f>CapBudgWS!J61</f>
        <v>485.76000000000749</v>
      </c>
      <c r="K43" s="23">
        <f>CapBudgWS!K61</f>
        <v>0</v>
      </c>
      <c r="L43" s="24">
        <f>CapBudgWS!L61</f>
        <v>0</v>
      </c>
      <c r="M43" s="3"/>
    </row>
    <row r="44" spans="1:13" s="5" customFormat="1" ht="13">
      <c r="A44" s="9" t="s">
        <v>52</v>
      </c>
      <c r="B44" s="23"/>
      <c r="C44" s="23">
        <f>CapBudgWS!C42-CapBudgWS!C43</f>
        <v>10000</v>
      </c>
      <c r="D44" s="23">
        <f>CapBudgWS!D42-CapBudgWS!D43</f>
        <v>14000</v>
      </c>
      <c r="E44" s="23">
        <f>CapBudgWS!E42-CapBudgWS!E43</f>
        <v>17800</v>
      </c>
      <c r="F44" s="23">
        <f>CapBudgWS!F42-CapBudgWS!F43</f>
        <v>21500.000000000007</v>
      </c>
      <c r="G44" s="23">
        <f>CapBudgWS!G42-CapBudgWS!G43</f>
        <v>25186.000000000007</v>
      </c>
      <c r="H44" s="23">
        <f>CapBudgWS!H42-CapBudgWS!H43</f>
        <v>26005.200000000008</v>
      </c>
      <c r="I44" s="23">
        <f>CapBudgWS!I42-CapBudgWS!I43</f>
        <v>26660.560000000009</v>
      </c>
      <c r="J44" s="23">
        <f>CapBudgWS!J42-CapBudgWS!J43</f>
        <v>28796.240000000005</v>
      </c>
      <c r="K44" s="23">
        <f>CapBudgWS!K42-CapBudgWS!K43</f>
        <v>29282.000000000011</v>
      </c>
      <c r="L44" s="23">
        <f>CapBudgWS!L42-CapBudgWS!L43</f>
        <v>29282.000000000011</v>
      </c>
      <c r="M44" s="3"/>
    </row>
    <row r="45" spans="1:13" s="5" customFormat="1" ht="13">
      <c r="A45" s="9" t="s">
        <v>53</v>
      </c>
      <c r="B45" s="23"/>
      <c r="C45" s="23">
        <f>CapBudgWS!C44*CapBudgWS!G7</f>
        <v>4000</v>
      </c>
      <c r="D45" s="23">
        <f>CapBudgWS!D44*CapBudgWS!G7</f>
        <v>5600</v>
      </c>
      <c r="E45" s="23">
        <f>CapBudgWS!E44*CapBudgWS!G7</f>
        <v>7120</v>
      </c>
      <c r="F45" s="23">
        <f>CapBudgWS!F44*CapBudgWS!G7</f>
        <v>8600.0000000000036</v>
      </c>
      <c r="G45" s="23">
        <f>CapBudgWS!G44*CapBudgWS!G7</f>
        <v>10074.400000000003</v>
      </c>
      <c r="H45" s="23">
        <f>CapBudgWS!H44*CapBudgWS!G7</f>
        <v>10402.080000000004</v>
      </c>
      <c r="I45" s="23">
        <f>CapBudgWS!I44*CapBudgWS!G7</f>
        <v>10664.224000000004</v>
      </c>
      <c r="J45" s="23">
        <f>CapBudgWS!J44*CapBudgWS!G7</f>
        <v>11518.496000000003</v>
      </c>
      <c r="K45" s="23">
        <f>CapBudgWS!K44*CapBudgWS!G7</f>
        <v>11712.800000000005</v>
      </c>
      <c r="L45" s="24">
        <f>CapBudgWS!L44*CapBudgWS!G7</f>
        <v>11712.800000000005</v>
      </c>
      <c r="M45" s="3"/>
    </row>
    <row r="46" spans="1:13" s="5" customFormat="1" ht="13">
      <c r="A46" s="9" t="s">
        <v>54</v>
      </c>
      <c r="B46" s="23"/>
      <c r="C46" s="23">
        <f>CapBudgWS!C44-CapBudgWS!C45</f>
        <v>6000</v>
      </c>
      <c r="D46" s="23">
        <f>CapBudgWS!D44-CapBudgWS!D45</f>
        <v>8400</v>
      </c>
      <c r="E46" s="23">
        <f>CapBudgWS!E44-CapBudgWS!E45</f>
        <v>10680</v>
      </c>
      <c r="F46" s="23">
        <f>CapBudgWS!F44-CapBudgWS!F45</f>
        <v>12900.000000000004</v>
      </c>
      <c r="G46" s="23">
        <f>CapBudgWS!G44-CapBudgWS!G45</f>
        <v>15111.600000000004</v>
      </c>
      <c r="H46" s="23">
        <f>CapBudgWS!H44-CapBudgWS!H45</f>
        <v>15603.120000000004</v>
      </c>
      <c r="I46" s="23">
        <f>CapBudgWS!I44-CapBudgWS!I45</f>
        <v>15996.336000000005</v>
      </c>
      <c r="J46" s="23">
        <f>CapBudgWS!J44-CapBudgWS!J45</f>
        <v>17277.744000000002</v>
      </c>
      <c r="K46" s="23">
        <f>CapBudgWS!K44-CapBudgWS!K45</f>
        <v>17569.200000000004</v>
      </c>
      <c r="L46" s="24">
        <f>CapBudgWS!L44-CapBudgWS!L45</f>
        <v>17569.200000000004</v>
      </c>
      <c r="M46" s="3"/>
    </row>
    <row r="47" spans="1:13" s="5" customFormat="1" ht="13">
      <c r="A47" s="9" t="s">
        <v>55</v>
      </c>
      <c r="B47" s="23"/>
      <c r="C47" s="23">
        <f>CapBudgWS!C43</f>
        <v>10000</v>
      </c>
      <c r="D47" s="23">
        <f>CapBudgWS!D43</f>
        <v>8000</v>
      </c>
      <c r="E47" s="23">
        <f>CapBudgWS!E43</f>
        <v>6400.0000000000018</v>
      </c>
      <c r="F47" s="23">
        <f>CapBudgWS!F43</f>
        <v>5120.0000000000018</v>
      </c>
      <c r="G47" s="23">
        <f>CapBudgWS!G43</f>
        <v>4096.0000000000027</v>
      </c>
      <c r="H47" s="23">
        <f>CapBudgWS!H43</f>
        <v>3276.8000000000025</v>
      </c>
      <c r="I47" s="23">
        <f>CapBudgWS!I43</f>
        <v>2621.4400000000019</v>
      </c>
      <c r="J47" s="23">
        <f>CapBudgWS!J43</f>
        <v>485.76000000000749</v>
      </c>
      <c r="K47" s="23">
        <f>CapBudgWS!K43</f>
        <v>0</v>
      </c>
      <c r="L47" s="24">
        <f>CapBudgWS!L43</f>
        <v>0</v>
      </c>
      <c r="M47" s="3"/>
    </row>
    <row r="48" spans="1:13" s="5" customFormat="1" ht="13">
      <c r="A48" s="9" t="s">
        <v>56</v>
      </c>
      <c r="B48" s="23"/>
      <c r="C48" s="23">
        <f>(CapBudgWS!C14*CapBudgWS!C39-CapBudgWS!B28)*CapBudgWS!C38</f>
        <v>0</v>
      </c>
      <c r="D48" s="23">
        <f>(CapBudgWS!C14*CapBudgWS!D39-CapBudgWS!B28)*CapBudgWS!D38</f>
        <v>1000</v>
      </c>
      <c r="E48" s="23">
        <f>(CapBudgWS!C14*CapBudgWS!E39-CapBudgWS!B28-SUM(CapBudgWS!C48,CapBudgWS!D48))*CapBudgWS!E38</f>
        <v>1100.0000000000018</v>
      </c>
      <c r="F48" s="23">
        <f>(CapBudgWS!C14*CapBudgWS!F39-CapBudgWS!B28-SUM(CapBudgWS!C48:'CapBudgWS'!E48))*CapBudgWS!F38</f>
        <v>1210.0000000000018</v>
      </c>
      <c r="G48" s="23">
        <f>(CapBudgWS!C14*CapBudgWS!G39-CapBudgWS!B28-SUM(CapBudgWS!C48:'CapBudgWS'!F48))*CapBudgWS!G38</f>
        <v>1331.0000000000018</v>
      </c>
      <c r="H48" s="23">
        <f>(CapBudgWS!C14*CapBudgWS!H39-CapBudgWS!B28-SUM(CapBudgWS!C48:'CapBudgWS'!G48))*CapBudgWS!H38</f>
        <v>0</v>
      </c>
      <c r="I48" s="23">
        <f>(CapBudgWS!C14*CapBudgWS!I39-CapBudgWS!B28-SUM(CapBudgWS!C48:'CapBudgWS'!H48))*CapBudgWS!I38</f>
        <v>0</v>
      </c>
      <c r="J48" s="23">
        <f>(CapBudgWS!C14*CapBudgWS!J39-CapBudgWS!B28-SUM(CapBudgWS!C48:'CapBudgWS'!I48))*CapBudgWS!J38</f>
        <v>0</v>
      </c>
      <c r="K48" s="23">
        <f>(CapBudgWS!C14*CapBudgWS!K39-CapBudgWS!B28-SUM(CapBudgWS!C48:'CapBudgWS'!J48))*CapBudgWS!K38</f>
        <v>0</v>
      </c>
      <c r="L48" s="24">
        <f>(CapBudgWS!C14*CapBudgWS!L39-CapBudgWS!B28-SUM(CapBudgWS!C48:'CapBudgWS'!K48))*CapBudgWS!L38</f>
        <v>0</v>
      </c>
      <c r="M48" s="3"/>
    </row>
    <row r="49" spans="1:13" s="5" customFormat="1" ht="13">
      <c r="A49" s="9" t="s">
        <v>57</v>
      </c>
      <c r="B49" s="23">
        <f>0-CapBudgWS!B31</f>
        <v>-62484</v>
      </c>
      <c r="C49" s="23">
        <f>CapBudgWS!C46+CapBudgWS!C47-CapBudgWS!C48</f>
        <v>16000</v>
      </c>
      <c r="D49" s="23">
        <f>CapBudgWS!D46+CapBudgWS!D47-CapBudgWS!D48</f>
        <v>15400</v>
      </c>
      <c r="E49" s="23">
        <f>CapBudgWS!E46+CapBudgWS!E47-CapBudgWS!E48</f>
        <v>15979.999999999998</v>
      </c>
      <c r="F49" s="23">
        <f>CapBudgWS!F46+CapBudgWS!F47-CapBudgWS!F48</f>
        <v>16810.000000000007</v>
      </c>
      <c r="G49" s="23">
        <f>CapBudgWS!G46+CapBudgWS!G47-CapBudgWS!G48</f>
        <v>17876.600000000006</v>
      </c>
      <c r="H49" s="23">
        <f>CapBudgWS!H46+CapBudgWS!H47-CapBudgWS!H48</f>
        <v>18879.920000000006</v>
      </c>
      <c r="I49" s="23">
        <f>CapBudgWS!I46+CapBudgWS!I47-CapBudgWS!I48</f>
        <v>18617.776000000005</v>
      </c>
      <c r="J49" s="23">
        <f>CapBudgWS!J46+CapBudgWS!J47-CapBudgWS!J48</f>
        <v>17763.504000000008</v>
      </c>
      <c r="K49" s="23">
        <f>CapBudgWS!K46+CapBudgWS!K47-CapBudgWS!K48</f>
        <v>17569.200000000004</v>
      </c>
      <c r="L49" s="23">
        <f>CapBudgWS!L46+CapBudgWS!L47-CapBudgWS!L48</f>
        <v>17569.200000000004</v>
      </c>
      <c r="M49" s="3"/>
    </row>
    <row r="50" spans="1:13" s="5" customFormat="1" ht="13">
      <c r="A50" s="9" t="s">
        <v>58</v>
      </c>
      <c r="B50" s="9">
        <f>1</f>
        <v>1</v>
      </c>
      <c r="C50" s="9">
        <f>CapBudgWS!C38*(1+CapBudgWS!K11)^CapBudgWS!C23</f>
        <v>1.1068500000000001</v>
      </c>
      <c r="D50" s="9">
        <f>CapBudgWS!D38*(1+CapBudgWS!K11)^CapBudgWS!D23</f>
        <v>1.2251169225000003</v>
      </c>
      <c r="E50" s="9">
        <f>CapBudgWS!E38*(1+CapBudgWS!K11)^CapBudgWS!E23</f>
        <v>1.3560206656691254</v>
      </c>
      <c r="F50" s="9">
        <f>CapBudgWS!F38*(1+CapBudgWS!K11)^CapBudgWS!F23</f>
        <v>1.5009114737958718</v>
      </c>
      <c r="G50" s="9">
        <f>CapBudgWS!G38*(1+CapBudgWS!K11)^CapBudgWS!G23</f>
        <v>1.6612838647709609</v>
      </c>
      <c r="H50" s="9">
        <f>CapBudgWS!H38*(1+CapBudgWS!K11)^CapBudgWS!H23</f>
        <v>1.8387920457217382</v>
      </c>
      <c r="I50" s="9">
        <f>CapBudgWS!I38*(1+CapBudgWS!K11)^CapBudgWS!I23</f>
        <v>2.0352669758071062</v>
      </c>
      <c r="J50" s="9">
        <f>CapBudgWS!J38*(1+CapBudgWS!K11)^CapBudgWS!J23</f>
        <v>2.252735252172096</v>
      </c>
      <c r="K50" s="9">
        <f>CapBudgWS!K38*(1+CapBudgWS!K11)^CapBudgWS!K23</f>
        <v>2.4934400138666848</v>
      </c>
      <c r="L50" s="22">
        <f>CapBudgWS!L38*(1+CapBudgWS!K11)^CapBudgWS!L23</f>
        <v>2.7598640793483402</v>
      </c>
      <c r="M50" s="3"/>
    </row>
    <row r="51" spans="1:13" s="5" customFormat="1" ht="13">
      <c r="A51" s="9" t="s">
        <v>59</v>
      </c>
      <c r="B51" s="23">
        <f>0-CapBudgWS!B31</f>
        <v>-62484</v>
      </c>
      <c r="C51" s="23">
        <f>(CapBudgWS!C49+CapBudgWS!C34+CapBudgWS!C35)/(1+CapBudgWS!K11)^CapBudgWS!C23</f>
        <v>14455.436599358538</v>
      </c>
      <c r="D51" s="23">
        <f>(CapBudgWS!D49+CapBudgWS!D34+CapBudgWS!D35)/(1+CapBudgWS!K11)^CapBudgWS!D23</f>
        <v>12570.228781571659</v>
      </c>
      <c r="E51" s="23">
        <f>(CapBudgWS!E49+CapBudgWS!E34+CapBudgWS!E35)/(1+CapBudgWS!K11)^CapBudgWS!E23</f>
        <v>11784.481169477385</v>
      </c>
      <c r="F51" s="23">
        <f>(CapBudgWS!F49+CapBudgWS!F34+CapBudgWS!F35)/(1+CapBudgWS!K11)^CapBudgWS!F23</f>
        <v>11199.861080072078</v>
      </c>
      <c r="G51" s="23">
        <f>(CapBudgWS!G49+CapBudgWS!G34+CapBudgWS!G35)/(1+CapBudgWS!K11)^CapBudgWS!G23</f>
        <v>10760.713673978065</v>
      </c>
      <c r="H51" s="23">
        <f>(CapBudgWS!H49+CapBudgWS!H34+CapBudgWS!H35)/(1+CapBudgWS!K11)^CapBudgWS!H23</f>
        <v>10267.566712574891</v>
      </c>
      <c r="I51" s="23">
        <f>(CapBudgWS!I49+CapBudgWS!I34+CapBudgWS!I35)/(1+CapBudgWS!K11)^CapBudgWS!I23</f>
        <v>9147.5841849283352</v>
      </c>
      <c r="J51" s="23">
        <f>(CapBudgWS!J49+CapBudgWS!J34+CapBudgWS!J35)/(1+CapBudgWS!K11)^CapBudgWS!J23</f>
        <v>7885.3047569049086</v>
      </c>
      <c r="K51" s="23">
        <f>(CapBudgWS!K49+CapBudgWS!K34+CapBudgWS!K35)/(1+CapBudgWS!K11)^CapBudgWS!K23</f>
        <v>7046.1691086583187</v>
      </c>
      <c r="L51" s="24">
        <f>(CapBudgWS!L49+CapBudgWS!L34+CapBudgWS!L35)/(1+CapBudgWS!K11)^CapBudgWS!L23</f>
        <v>9989.3325205021156</v>
      </c>
      <c r="M51" s="3"/>
    </row>
    <row r="52" spans="1:13" s="5" customFormat="1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s="5" customFormat="1" ht="13">
      <c r="A53" s="3"/>
      <c r="B53" s="47" t="s">
        <v>60</v>
      </c>
      <c r="C53" s="47" t="s">
        <v>68</v>
      </c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s="5" customFormat="1" ht="13">
      <c r="A54" s="3"/>
      <c r="B54" s="45" t="s">
        <v>61</v>
      </c>
      <c r="C54" s="46">
        <f>SUM(CapBudgWS!B51:'CapBudgWS'!L51)</f>
        <v>42622.678588026291</v>
      </c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s="5" customFormat="1" ht="13">
      <c r="A55" s="3"/>
      <c r="B55" s="45" t="s">
        <v>62</v>
      </c>
      <c r="C55" s="18">
        <f>IRR(CapBudgWS!B49:'CapBudgWS'!L49,CapBudgWS!K11)</f>
        <v>0.23553936023852473</v>
      </c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s="5" customFormat="1" ht="13">
      <c r="A56" s="3"/>
      <c r="B56" s="45" t="s">
        <v>63</v>
      </c>
      <c r="C56" s="18">
        <f>SUM(CapBudgWS!C46:'CapBudgWS'!L46)/SUM(CapBudgWS!B62:'CapBudgWS'!K62)</f>
        <v>0.60119717460059141</v>
      </c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s="5" customFormat="1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s="5" customFormat="1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s="5" customFormat="1" ht="13">
      <c r="A59" s="3" t="s">
        <v>64</v>
      </c>
      <c r="B59" s="3" t="s">
        <v>69</v>
      </c>
      <c r="C59" s="3" t="s">
        <v>80</v>
      </c>
      <c r="D59" s="3" t="s">
        <v>81</v>
      </c>
      <c r="E59" s="3" t="s">
        <v>68</v>
      </c>
      <c r="F59" s="3" t="s">
        <v>82</v>
      </c>
      <c r="G59" s="3" t="s">
        <v>83</v>
      </c>
      <c r="H59" s="3" t="s">
        <v>84</v>
      </c>
      <c r="I59" s="3" t="s">
        <v>85</v>
      </c>
      <c r="J59" s="3" t="s">
        <v>86</v>
      </c>
      <c r="K59" s="3" t="s">
        <v>87</v>
      </c>
      <c r="L59" s="3" t="s">
        <v>88</v>
      </c>
      <c r="M59" s="3"/>
    </row>
    <row r="60" spans="1:13" s="5" customFormat="1" ht="13">
      <c r="A60" s="3" t="s">
        <v>65</v>
      </c>
      <c r="B60" s="20">
        <f>CapBudgWS!C2</f>
        <v>0</v>
      </c>
      <c r="C60" s="20">
        <f>CapBudgWS!C4</f>
        <v>50000</v>
      </c>
      <c r="D60" s="20">
        <f>(CapBudgWS!C60-CapBudgWS!C61)*CapBudgWS!D38</f>
        <v>40000</v>
      </c>
      <c r="E60" s="20">
        <f>(CapBudgWS!D60-CapBudgWS!D61)*CapBudgWS!E38</f>
        <v>32000</v>
      </c>
      <c r="F60" s="20">
        <f>(CapBudgWS!E60-CapBudgWS!E61)*CapBudgWS!F38</f>
        <v>25600</v>
      </c>
      <c r="G60" s="20">
        <f>(CapBudgWS!F60-CapBudgWS!F61)*CapBudgWS!G38</f>
        <v>20480</v>
      </c>
      <c r="H60" s="20">
        <f>(CapBudgWS!G60-CapBudgWS!G61)*CapBudgWS!H38</f>
        <v>16383.999999999996</v>
      </c>
      <c r="I60" s="20">
        <f>(CapBudgWS!H60-CapBudgWS!H61)*CapBudgWS!I38</f>
        <v>13107.199999999993</v>
      </c>
      <c r="J60" s="20">
        <f>(CapBudgWS!I60-CapBudgWS!I61)*CapBudgWS!J38</f>
        <v>10485.759999999991</v>
      </c>
      <c r="K60" s="20">
        <f>(CapBudgWS!J60-CapBudgWS!J61)*CapBudgWS!K38</f>
        <v>9999.9999999999836</v>
      </c>
      <c r="L60" s="20">
        <f>(CapBudgWS!K60-CapBudgWS!K61)*CapBudgWS!L38</f>
        <v>9999.9999999999836</v>
      </c>
      <c r="M60" s="3"/>
    </row>
    <row r="61" spans="1:13" s="5" customFormat="1" ht="13">
      <c r="A61" s="3" t="s">
        <v>66</v>
      </c>
      <c r="B61" s="20" t="str">
        <f>CapBudgWS!C3</f>
        <v>Column2</v>
      </c>
      <c r="C61" s="20">
        <f>IF(CapBudgWS!C8=1,((CapBudgWS!C4-CapBudgWS!C7)/CapBudgWS!C6)*CapBudgWS!C38,(IF(CapBudgWS!C7&lt;CapBudgWS!C4*(1-2/CapBudgWS!C6)^(CapBudgWS!C23),CapBudgWS!C4*(1-2/CapBudgWS!C6)^(CapBudgWS!C23-1)*(2/CapBudgWS!C6)*CapBudgWS!C38,(IF(0&lt;(CapBudgWS!C4*(1-2/CapBudgWS!C6)^(CapBudgWS!C23-1))-CapBudgWS!C7,0,CapBudgWS!C4*CapBudgWS!C38*(1-2/CapBudgWS!C6)^(CapBudgWS!C23-1)-CapBudgWS!C7)))))</f>
        <v>10000</v>
      </c>
      <c r="D61" s="20">
        <f>IF(CapBudgWS!C8=1,((CapBudgWS!C4-CapBudgWS!C7)/CapBudgWS!C6)*CapBudgWS!D38,(IF(CapBudgWS!C7&lt;CapBudgWS!C4*(1-2/CapBudgWS!C6)^(CapBudgWS!D23),CapBudgWS!C4*(1-2/CapBudgWS!C6)^(CapBudgWS!D23-1)*(2/CapBudgWS!C6)*CapBudgWS!D38,(IF(0&lt;(CapBudgWS!C4*(1-2/CapBudgWS!C6)^(CapBudgWS!D23-1))-CapBudgWS!C7,0,CapBudgWS!C4*CapBudgWS!D38*(1-2/CapBudgWS!C6)^(CapBudgWS!D23-1)-CapBudgWS!C7)))))</f>
        <v>8000</v>
      </c>
      <c r="E61" s="20">
        <f>IF(CapBudgWS!C8=1,((CapBudgWS!C4-CapBudgWS!C7)/CapBudgWS!C6)*CapBudgWS!E38,(IF(CapBudgWS!C7&lt;CapBudgWS!C4*(1-2/CapBudgWS!C6)^(CapBudgWS!E23),CapBudgWS!C4*(1-2/CapBudgWS!C6)^(CapBudgWS!E23-1)*(2/CapBudgWS!C6)*CapBudgWS!E38,(IF(0&lt;(CapBudgWS!C4*(1-2/CapBudgWS!C6)^(CapBudgWS!E23-1))-CapBudgWS!C7,0,CapBudgWS!C4*CapBudgWS!E38*(1-2/CapBudgWS!C6)^(CapBudgWS!E23-1)-CapBudgWS!C7)))))</f>
        <v>6400.0000000000018</v>
      </c>
      <c r="F61" s="20">
        <f>IF(CapBudgWS!C8=1,((CapBudgWS!C4-CapBudgWS!C7)/CapBudgWS!C6)*CapBudgWS!F38,(IF(CapBudgWS!C7&lt;CapBudgWS!C4*(1-2/CapBudgWS!C6)^(CapBudgWS!F23),CapBudgWS!C4*(1-2/CapBudgWS!C6)^(CapBudgWS!F23-1)*(2/CapBudgWS!C6)*CapBudgWS!F38,(IF(0&gt;(CapBudgWS!C4*(1-2/CapBudgWS!C6)^(CapBudgWS!F23-1))-CapBudgWS!C7,0,CapBudgWS!C4*CapBudgWS!F38*(1-2/CapBudgWS!C6)^(CapBudgWS!F23-1)-CapBudgWS!C7)))))</f>
        <v>5120.0000000000018</v>
      </c>
      <c r="G61" s="20">
        <f>IF(CapBudgWS!C8=1,((CapBudgWS!C4-CapBudgWS!C7)/CapBudgWS!C6)*CapBudgWS!F38,(IF(CapBudgWS!C7&lt;CapBudgWS!C4*(1-2/CapBudgWS!C6)^(CapBudgWS!G23),CapBudgWS!C4*(1-2/CapBudgWS!C6)^(CapBudgWS!G23-1)*(2/CapBudgWS!C6)*CapBudgWS!G38,(IF(0&gt;(CapBudgWS!C4*(1-2/CapBudgWS!C6)^(CapBudgWS!G23-1))-CapBudgWS!C7,0,CapBudgWS!C4*CapBudgWS!G38*(1-2/CapBudgWS!C6)^(CapBudgWS!G23-1)-CapBudgWS!C7)))))</f>
        <v>4096.0000000000027</v>
      </c>
      <c r="H61" s="20">
        <f>IF(CapBudgWS!C8=1,((CapBudgWS!C4-CapBudgWS!C7)/CapBudgWS!C6)*CapBudgWS!H38,(IF(CapBudgWS!C7&lt;CapBudgWS!C4*(1-2/CapBudgWS!C6)^(CapBudgWS!H23),CapBudgWS!C4*(1-2/CapBudgWS!C6)^(CapBudgWS!H23-1)*(2/CapBudgWS!C6)*CapBudgWS!H38,(IF(0&gt;(CapBudgWS!C4*(1-2/CapBudgWS!C6)^(CapBudgWS!H23-1))-CapBudgWS!C7,0,CapBudgWS!C4*CapBudgWS!H38*(1-2/CapBudgWS!C6)^(CapBudgWS!H23-1)-CapBudgWS!C7)))))</f>
        <v>3276.8000000000025</v>
      </c>
      <c r="I61" s="20">
        <f>IF(CapBudgWS!C8=1,((CapBudgWS!C4-CapBudgWS!C7)/CapBudgWS!C6)*CapBudgWS!I38,(IF(CapBudgWS!C7&lt;CapBudgWS!C4*(1-2/CapBudgWS!C6)^(CapBudgWS!I23),CapBudgWS!C4*(1-2/CapBudgWS!C6)^(CapBudgWS!I23-1)*(2/CapBudgWS!C6)*CapBudgWS!I38,(IF(0&gt;(CapBudgWS!C4*(1-2/CapBudgWS!C6)^(CapBudgWS!I23-1))-CapBudgWS!C7,0,CapBudgWS!C4*CapBudgWS!I38*(1-2/CapBudgWS!C6)^(CapBudgWS!I23-1)-CapBudgWS!C7)))))</f>
        <v>2621.4400000000019</v>
      </c>
      <c r="J61" s="20">
        <f>IF(CapBudgWS!C8=1,((CapBudgWS!C4-CapBudgWS!C7)/CapBudgWS!C6)*CapBudgWS!J38,(IF(CapBudgWS!C7&lt;CapBudgWS!C4*(1-2/CapBudgWS!C6)^(CapBudgWS!J23),CapBudgWS!C4*(1-2/CapBudgWS!C6)^(CapBudgWS!J23-1)*(2/CapBudgWS!C6)*CapBudgWS!J38,(IF(0&gt;(CapBudgWS!C4*(1-2/CapBudgWS!C6)^(CapBudgWS!J23-1))-CapBudgWS!C7,0,CapBudgWS!C4*CapBudgWS!J38*(1-2/CapBudgWS!C6)^(CapBudgWS!J23-1)-CapBudgWS!C7)))))</f>
        <v>485.76000000000749</v>
      </c>
      <c r="K61" s="20">
        <f>IF(CapBudgWS!C8=1,((CapBudgWS!C4-CapBudgWS!C7)/CapBudgWS!C6)*CapBudgWS!K38,(IF(CapBudgWS!C7&lt;CapBudgWS!C4*(1-2/CapBudgWS!C6)^(CapBudgWS!K23),CapBudgWS!C4*(1-2/CapBudgWS!C6)^(CapBudgWS!K23-1)*(2/CapBudgWS!C6)*CapBudgWS!K38,(IF(0&gt;(CapBudgWS!C4*(1-2/CapBudgWS!C6)^(CapBudgWS!K23-1))-CapBudgWS!C7,0,CapBudgWS!C4*CapBudgWS!K38*(1-2/CapBudgWS!C6)^(CapBudgWS!K23-1)-CapBudgWS!C7)))))</f>
        <v>0</v>
      </c>
      <c r="L61" s="20">
        <f>IF(CapBudgWS!C8=1,((CapBudgWS!C4-CapBudgWS!C7)/CapBudgWS!C6)*CapBudgWS!L38,(IF(CapBudgWS!C7&lt;CapBudgWS!C4*(1-2/CapBudgWS!C6)^(CapBudgWS!L23),CapBudgWS!C4*(1-2/CapBudgWS!C6)^(CapBudgWS!L23-1)*(2/CapBudgWS!C6)*CapBudgWS!L38,(IF(0&gt;(CapBudgWS!C4*(1-2/CapBudgWS!C6)^(CapBudgWS!L23-1))-CapBudgWS!C7,0,CapBudgWS!C4*CapBudgWS!L38*(1-2/CapBudgWS!C6)^(CapBudgWS!L23-1)-CapBudgWS!C7)))))</f>
        <v>0</v>
      </c>
      <c r="M61" s="3"/>
    </row>
    <row r="62" spans="1:13" s="5" customFormat="1" ht="13">
      <c r="A62" s="3" t="s">
        <v>67</v>
      </c>
      <c r="B62" s="20">
        <f>CapBudgWS!C4</f>
        <v>50000</v>
      </c>
      <c r="C62" s="20">
        <f>CapBudgWS!C60-CapBudgWS!C61</f>
        <v>40000</v>
      </c>
      <c r="D62" s="20">
        <f>CapBudgWS!D60-CapBudgWS!D61</f>
        <v>32000</v>
      </c>
      <c r="E62" s="20">
        <f>CapBudgWS!E60-CapBudgWS!E61</f>
        <v>25600</v>
      </c>
      <c r="F62" s="20">
        <f>CapBudgWS!F60-CapBudgWS!F61</f>
        <v>20480</v>
      </c>
      <c r="G62" s="20">
        <f>CapBudgWS!G60-CapBudgWS!G61</f>
        <v>16383.999999999996</v>
      </c>
      <c r="H62" s="20">
        <f>CapBudgWS!H60-CapBudgWS!H61</f>
        <v>13107.199999999993</v>
      </c>
      <c r="I62" s="20">
        <f>CapBudgWS!I60-CapBudgWS!I61</f>
        <v>10485.759999999991</v>
      </c>
      <c r="J62" s="20">
        <f>CapBudgWS!J60-CapBudgWS!J61</f>
        <v>9999.9999999999836</v>
      </c>
      <c r="K62" s="20">
        <f>CapBudgWS!K60-CapBudgWS!K61</f>
        <v>9999.9999999999836</v>
      </c>
      <c r="L62" s="20">
        <f>CapBudgWS!L60-CapBudgWS!L61</f>
        <v>9999.9999999999836</v>
      </c>
      <c r="M62" s="3"/>
    </row>
    <row r="63" spans="1:13" s="5" customFormat="1" ht="13">
      <c r="A63" s="3"/>
      <c r="B63" s="20">
        <f>CapBudgWS!C5</f>
        <v>7484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s="5" customFormat="1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s="5" customFormat="1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s="5" customFormat="1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5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</sheetData>
  <printOptions gridLinesSet="0"/>
  <pageMargins left="0.75" right="0.75" top="1" bottom="1" header="0.5" footer="0.5"/>
  <pageSetup firstPageNumber="5" orientation="landscape" useFirstPageNumber="1" horizontalDpi="0" verticalDpi="0" copies="0"/>
  <headerFooter alignWithMargins="0">
    <oddHeader>&amp;C&amp;"Times"&amp;12CAPITAL BUDGETING WORKSHEET&amp;R&amp;P</oddHeader>
  </headerFooter>
  <rowBreaks count="2" manualBreakCount="2">
    <brk id="20" max="65535" man="1"/>
    <brk id="61" max="65535" man="1"/>
  </rowBreaks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B28" sqref="B28"/>
    </sheetView>
  </sheetViews>
  <sheetFormatPr defaultRowHeight="12.5"/>
  <cols>
    <col min="1" max="1" width="24.26953125" customWidth="1"/>
    <col min="2" max="2" width="30.1796875" customWidth="1"/>
  </cols>
  <sheetData>
    <row r="1" spans="1:2" ht="13">
      <c r="A1" s="47" t="s">
        <v>60</v>
      </c>
      <c r="B1" s="47" t="s">
        <v>68</v>
      </c>
    </row>
    <row r="2" spans="1:2" ht="13">
      <c r="A2" s="45" t="s">
        <v>61</v>
      </c>
      <c r="B2" s="46">
        <f>SUM(CapBudgWS!B51:L51)</f>
        <v>42622.678588026291</v>
      </c>
    </row>
    <row r="3" spans="1:2" ht="13">
      <c r="A3" s="45" t="s">
        <v>62</v>
      </c>
      <c r="B3" s="18">
        <f>IRR(CapBudgWS!B49:L49,K11)</f>
        <v>0.23553936023867617</v>
      </c>
    </row>
    <row r="4" spans="1:2" ht="13">
      <c r="A4" s="45" t="s">
        <v>63</v>
      </c>
      <c r="B4" s="18">
        <f>SUM(CapBudgWS!C46:L46)/SUM(CapBudgWS!B62:K62)</f>
        <v>0.60119717460059141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3"/>
  <sheetViews>
    <sheetView workbookViewId="0">
      <selection activeCell="F7" sqref="F7"/>
    </sheetView>
  </sheetViews>
  <sheetFormatPr defaultRowHeight="12.5"/>
  <cols>
    <col min="1" max="1" width="8.7265625" customWidth="1"/>
  </cols>
  <sheetData>
    <row r="1" spans="1:12" ht="13.5" thickTop="1">
      <c r="A1" s="38" t="s">
        <v>30</v>
      </c>
      <c r="B1" s="16" t="s">
        <v>68</v>
      </c>
      <c r="C1" s="16" t="s">
        <v>70</v>
      </c>
      <c r="D1" s="16" t="s">
        <v>71</v>
      </c>
      <c r="E1" s="16" t="s">
        <v>72</v>
      </c>
      <c r="F1" s="16" t="s">
        <v>73</v>
      </c>
      <c r="G1" s="16" t="s">
        <v>74</v>
      </c>
      <c r="H1" s="16" t="s">
        <v>75</v>
      </c>
      <c r="I1" s="16" t="s">
        <v>76</v>
      </c>
      <c r="J1" s="16" t="s">
        <v>77</v>
      </c>
      <c r="K1" s="16" t="s">
        <v>78</v>
      </c>
      <c r="L1" s="16" t="s">
        <v>79</v>
      </c>
    </row>
    <row r="2" spans="1:12" ht="13">
      <c r="A2" s="9" t="s">
        <v>31</v>
      </c>
      <c r="B2" s="9"/>
      <c r="C2" s="9"/>
      <c r="D2" s="18">
        <v>0.1</v>
      </c>
      <c r="E2" s="18">
        <v>0.1</v>
      </c>
      <c r="F2" s="18">
        <v>0.1</v>
      </c>
      <c r="G2" s="18">
        <v>0.1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</row>
    <row r="3" spans="1:12" ht="13">
      <c r="A3" s="9" t="s">
        <v>33</v>
      </c>
      <c r="B3" s="9"/>
      <c r="C3" s="9"/>
      <c r="D3" s="18">
        <f>CapBudgWS!D2</f>
        <v>0</v>
      </c>
      <c r="E3" s="18" t="str">
        <f>CapBudgWS!E2</f>
        <v>INPUT SHEET: USER ENTERS ALL BOLD NUMBERS</v>
      </c>
      <c r="F3" s="18">
        <f>CapBudgWS!F2</f>
        <v>0</v>
      </c>
      <c r="G3" s="18">
        <f>CapBudgWS!G2</f>
        <v>0</v>
      </c>
      <c r="H3" s="18">
        <f>CapBudgWS!H2</f>
        <v>0</v>
      </c>
      <c r="I3" s="18">
        <f>CapBudgWS!I2</f>
        <v>0</v>
      </c>
      <c r="J3" s="18">
        <f>CapBudgWS!J2</f>
        <v>0</v>
      </c>
      <c r="K3" s="18">
        <f>CapBudgWS!K2</f>
        <v>0</v>
      </c>
      <c r="L3" s="18">
        <f>CapBudgWS!L2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4"/>
  <sheetViews>
    <sheetView workbookViewId="0">
      <selection activeCell="C5" sqref="C5"/>
    </sheetView>
  </sheetViews>
  <sheetFormatPr defaultRowHeight="12.5"/>
  <sheetData>
    <row r="1" spans="1:3" ht="13">
      <c r="A1" s="16" t="s">
        <v>26</v>
      </c>
      <c r="B1" s="9" t="s">
        <v>68</v>
      </c>
      <c r="C1" s="42" t="s">
        <v>69</v>
      </c>
    </row>
    <row r="2" spans="1:3" ht="13">
      <c r="A2" s="9" t="s">
        <v>27</v>
      </c>
      <c r="B2" s="9"/>
      <c r="C2" s="40">
        <v>10000</v>
      </c>
    </row>
    <row r="3" spans="1:3" ht="13">
      <c r="A3" s="9" t="s">
        <v>28</v>
      </c>
      <c r="B3" s="9"/>
      <c r="C3" s="41">
        <v>0.25</v>
      </c>
    </row>
    <row r="4" spans="1:3" ht="13">
      <c r="A4" s="9" t="s">
        <v>29</v>
      </c>
      <c r="B4" s="9"/>
      <c r="C4" s="41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9"/>
  <sheetViews>
    <sheetView workbookViewId="0">
      <selection activeCell="A3" sqref="A3"/>
    </sheetView>
  </sheetViews>
  <sheetFormatPr defaultRowHeight="12.5"/>
  <sheetData>
    <row r="1" spans="1:3" ht="13">
      <c r="A1" s="31" t="s">
        <v>4</v>
      </c>
      <c r="B1" s="9" t="s">
        <v>68</v>
      </c>
      <c r="C1" s="22" t="s">
        <v>69</v>
      </c>
    </row>
    <row r="2" spans="1:3" ht="13">
      <c r="A2" s="31" t="s">
        <v>7</v>
      </c>
      <c r="B2" s="9"/>
      <c r="C2" s="32">
        <v>2</v>
      </c>
    </row>
    <row r="3" spans="1:3" ht="13">
      <c r="A3" s="21" t="s">
        <v>10</v>
      </c>
      <c r="B3" s="9"/>
      <c r="C3" s="33">
        <v>0.1</v>
      </c>
    </row>
    <row r="4" spans="1:3" ht="13">
      <c r="A4" s="21" t="s">
        <v>13</v>
      </c>
      <c r="B4" s="9"/>
      <c r="C4" s="32">
        <v>0.9</v>
      </c>
    </row>
    <row r="5" spans="1:3" ht="13">
      <c r="A5" s="21" t="s">
        <v>16</v>
      </c>
      <c r="B5" s="9"/>
      <c r="C5" s="34">
        <v>0.08</v>
      </c>
    </row>
    <row r="6" spans="1:3" ht="13">
      <c r="A6" s="21" t="s">
        <v>19</v>
      </c>
      <c r="B6" s="9"/>
      <c r="C6" s="34">
        <v>5.5E-2</v>
      </c>
    </row>
    <row r="7" spans="1:3" ht="13">
      <c r="A7" s="21" t="s">
        <v>22</v>
      </c>
      <c r="B7" s="9"/>
      <c r="C7" s="35">
        <v>0.3</v>
      </c>
    </row>
    <row r="8" spans="1:3" ht="13.5" thickBot="1">
      <c r="A8" s="25" t="s">
        <v>24</v>
      </c>
      <c r="B8" s="36"/>
      <c r="C8" s="37">
        <v>0.09</v>
      </c>
    </row>
    <row r="9" spans="1:3" ht="13">
      <c r="A9" s="3"/>
      <c r="B9" s="3"/>
      <c r="C9" s="3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C6"/>
  <sheetViews>
    <sheetView workbookViewId="0">
      <selection activeCell="D9" sqref="D9"/>
    </sheetView>
  </sheetViews>
  <sheetFormatPr defaultRowHeight="12.5"/>
  <sheetData>
    <row r="1" spans="1:3" ht="13">
      <c r="A1" s="16" t="s">
        <v>3</v>
      </c>
      <c r="B1" s="9" t="s">
        <v>68</v>
      </c>
      <c r="C1" s="39" t="s">
        <v>69</v>
      </c>
    </row>
    <row r="2" spans="1:3" ht="13">
      <c r="A2" s="9" t="s">
        <v>6</v>
      </c>
      <c r="B2" s="9"/>
      <c r="C2" s="10">
        <v>40000</v>
      </c>
    </row>
    <row r="3" spans="1:3" ht="13">
      <c r="A3" s="9" t="s">
        <v>9</v>
      </c>
      <c r="B3" s="9"/>
      <c r="C3" s="11">
        <v>0.5</v>
      </c>
    </row>
    <row r="4" spans="1:3" ht="13">
      <c r="A4" s="9" t="s">
        <v>12</v>
      </c>
      <c r="B4" s="9"/>
      <c r="C4" s="12">
        <v>0</v>
      </c>
    </row>
    <row r="5" spans="1:3" ht="13.5" thickBot="1">
      <c r="A5" s="14" t="s">
        <v>15</v>
      </c>
      <c r="B5" s="14"/>
      <c r="C5" s="11">
        <v>0.4</v>
      </c>
    </row>
    <row r="6" spans="1:3" ht="13" thickTop="1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C9"/>
  <sheetViews>
    <sheetView workbookViewId="0">
      <selection activeCell="E5" sqref="E5"/>
    </sheetView>
  </sheetViews>
  <sheetFormatPr defaultRowHeight="12.5"/>
  <sheetData>
    <row r="1" spans="1:3" ht="13">
      <c r="A1" s="16" t="s">
        <v>2</v>
      </c>
      <c r="B1" s="9" t="s">
        <v>68</v>
      </c>
      <c r="C1" s="39" t="s">
        <v>69</v>
      </c>
    </row>
    <row r="2" spans="1:3" ht="13">
      <c r="A2" s="9" t="s">
        <v>5</v>
      </c>
      <c r="B2" s="9"/>
      <c r="C2" s="10">
        <v>50000</v>
      </c>
    </row>
    <row r="3" spans="1:3" ht="13">
      <c r="A3" s="9" t="s">
        <v>8</v>
      </c>
      <c r="B3" s="9"/>
      <c r="C3" s="10">
        <v>7484</v>
      </c>
    </row>
    <row r="4" spans="1:3" ht="13">
      <c r="A4" s="9" t="s">
        <v>11</v>
      </c>
      <c r="B4" s="9"/>
      <c r="C4" s="12">
        <v>10</v>
      </c>
    </row>
    <row r="5" spans="1:3" ht="13">
      <c r="A5" s="9" t="s">
        <v>14</v>
      </c>
      <c r="B5" s="9"/>
      <c r="C5" s="10">
        <v>10000</v>
      </c>
    </row>
    <row r="6" spans="1:3" ht="13">
      <c r="A6" s="9" t="s">
        <v>17</v>
      </c>
      <c r="B6" s="9"/>
      <c r="C6" s="12">
        <v>2</v>
      </c>
    </row>
    <row r="7" spans="1:3" ht="13">
      <c r="A7" s="9" t="s">
        <v>20</v>
      </c>
      <c r="B7" s="9"/>
      <c r="C7" s="11">
        <v>0.1</v>
      </c>
    </row>
    <row r="8" spans="1:3" ht="13.5" thickBot="1">
      <c r="A8" s="14" t="s">
        <v>23</v>
      </c>
      <c r="B8" s="14"/>
      <c r="C8" s="12">
        <v>0</v>
      </c>
    </row>
    <row r="9" spans="1:3" ht="13" thickTop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1075-4658-4FBA-B065-D9DABB259C1A}">
  <sheetPr codeName="Sheet9"/>
  <dimension ref="A1:N55"/>
  <sheetViews>
    <sheetView workbookViewId="0">
      <selection activeCell="F6" sqref="F6"/>
    </sheetView>
  </sheetViews>
  <sheetFormatPr defaultRowHeight="12.5"/>
  <cols>
    <col min="1" max="1" width="30.453125" customWidth="1"/>
    <col min="2" max="10" width="10.36328125" customWidth="1"/>
    <col min="11" max="12" width="11.36328125" customWidth="1"/>
  </cols>
  <sheetData>
    <row r="1" spans="1:12">
      <c r="A1" t="s">
        <v>64</v>
      </c>
      <c r="B1" t="s">
        <v>69</v>
      </c>
      <c r="C1" t="s">
        <v>80</v>
      </c>
      <c r="D1" t="s">
        <v>81</v>
      </c>
      <c r="E1" t="s">
        <v>68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>
      <c r="A2" t="s">
        <v>65</v>
      </c>
      <c r="B2">
        <f>CapBudgWS!C2</f>
        <v>0</v>
      </c>
      <c r="C2" s="51">
        <f>CapBudgWS!C4</f>
        <v>50000</v>
      </c>
      <c r="D2">
        <f>(CapBudgWS!C60-CapBudgWS!C61)*CapBudgWS!D38</f>
        <v>40000</v>
      </c>
      <c r="E2">
        <f>(CapBudgWS!D60-CapBudgWS!D61)*CapBudgWS!E38</f>
        <v>32000</v>
      </c>
      <c r="F2">
        <f>(CapBudgWS!E60-CapBudgWS!E61)*CapBudgWS!F38</f>
        <v>25600</v>
      </c>
      <c r="G2">
        <f>(CapBudgWS!F60-CapBudgWS!F61)*CapBudgWS!G38</f>
        <v>20480</v>
      </c>
      <c r="H2">
        <f>(CapBudgWS!G60-CapBudgWS!G61)*CapBudgWS!H38</f>
        <v>16383.999999999996</v>
      </c>
      <c r="I2">
        <f>(CapBudgWS!H60-CapBudgWS!H61)*CapBudgWS!I38</f>
        <v>13107.199999999993</v>
      </c>
      <c r="J2">
        <f>(CapBudgWS!I60-CapBudgWS!I61)*CapBudgWS!J38</f>
        <v>10485.759999999991</v>
      </c>
      <c r="K2">
        <f>(CapBudgWS!J60-CapBudgWS!J61)*CapBudgWS!K38</f>
        <v>9999.9999999999836</v>
      </c>
      <c r="L2">
        <f>(CapBudgWS!K60-CapBudgWS!K61)*CapBudgWS!L38</f>
        <v>9999.9999999999836</v>
      </c>
    </row>
    <row r="3" spans="1:12">
      <c r="A3" t="s">
        <v>66</v>
      </c>
      <c r="B3" t="str">
        <f>CapBudgWS!C3</f>
        <v>Column2</v>
      </c>
      <c r="C3">
        <f>IF(CapBudgWS!C8=1,((CapBudgWS!C4-CapBudgWS!C7)/CapBudgWS!C6)*CapBudgWS!C38,(IF(CapBudgWS!C7&lt;CapBudgWS!C4*(1-2/CapBudgWS!C6)^(CapBudgWS!C23),CapBudgWS!C4*(1-2/CapBudgWS!C6)^(CapBudgWS!C23-1)*(2/CapBudgWS!C6)*CapBudgWS!C38,(IF(0&lt;(CapBudgWS!C4*(1-2/CapBudgWS!C6)^(CapBudgWS!C23-1))-CapBudgWS!C7,0,CapBudgWS!C4*CapBudgWS!C38*(1-2/CapBudgWS!C6)^(CapBudgWS!C23-1)-CapBudgWS!C7)))))</f>
        <v>10000</v>
      </c>
      <c r="D3">
        <f>IF(CapBudgWS!C8=1,((CapBudgWS!C4-CapBudgWS!C7)/CapBudgWS!C6)*CapBudgWS!D38,(IF(CapBudgWS!C7&lt;CapBudgWS!C4*(1-2/CapBudgWS!C6)^(CapBudgWS!D23),CapBudgWS!C4*(1-2/CapBudgWS!C6)^(CapBudgWS!D23-1)*(2/CapBudgWS!C6)*CapBudgWS!D38,(IF(0&lt;(CapBudgWS!C4*(1-2/CapBudgWS!C6)^(CapBudgWS!D23-1))-CapBudgWS!C7,0,CapBudgWS!C4*CapBudgWS!D38*(1-2/CapBudgWS!C6)^(CapBudgWS!D23-1)-CapBudgWS!C7)))))</f>
        <v>8000</v>
      </c>
      <c r="E3">
        <f>IF(CapBudgWS!C8=1,((CapBudgWS!C4-CapBudgWS!C7)/CapBudgWS!C6)*CapBudgWS!E38,(IF(CapBudgWS!C7&lt;CapBudgWS!C4*(1-2/CapBudgWS!C6)^(CapBudgWS!E23),CapBudgWS!C4*(1-2/CapBudgWS!C6)^(CapBudgWS!E23-1)*(2/CapBudgWS!C6)*CapBudgWS!E38,(IF(0&lt;(CapBudgWS!C4*(1-2/CapBudgWS!C6)^(CapBudgWS!E23-1))-CapBudgWS!C7,0,CapBudgWS!C4*CapBudgWS!E38*(1-2/CapBudgWS!C6)^(CapBudgWS!E23-1)-CapBudgWS!C7)))))</f>
        <v>6400.0000000000018</v>
      </c>
      <c r="F3">
        <f>IF(CapBudgWS!C8=1,((CapBudgWS!C4-CapBudgWS!C7)/CapBudgWS!C6)*CapBudgWS!F38,(IF(CapBudgWS!C7&lt;CapBudgWS!C4*(1-2/CapBudgWS!C6)^(CapBudgWS!F23),CapBudgWS!C4*(1-2/CapBudgWS!C6)^(CapBudgWS!F23-1)*(2/CapBudgWS!C6)*CapBudgWS!F38,(IF(0&gt;(CapBudgWS!C4*(1-2/CapBudgWS!C6)^(CapBudgWS!F23-1))-CapBudgWS!C7,0,CapBudgWS!C4*CapBudgWS!F38*(1-2/CapBudgWS!C6)^(CapBudgWS!F23-1)-CapBudgWS!C7)))))</f>
        <v>5120.0000000000018</v>
      </c>
      <c r="G3">
        <f>IF(CapBudgWS!C8=1,((CapBudgWS!C4-CapBudgWS!C7)/CapBudgWS!C6)*CapBudgWS!F38,(IF(CapBudgWS!C7&lt;CapBudgWS!C4*(1-2/CapBudgWS!C6)^(CapBudgWS!G23),CapBudgWS!C4*(1-2/CapBudgWS!C6)^(CapBudgWS!G23-1)*(2/CapBudgWS!C6)*CapBudgWS!G38,(IF(0&gt;(CapBudgWS!C4*(1-2/CapBudgWS!C6)^(CapBudgWS!G23-1))-CapBudgWS!C7,0,CapBudgWS!C4*CapBudgWS!G38*(1-2/CapBudgWS!C6)^(CapBudgWS!G23-1)-CapBudgWS!C7)))))</f>
        <v>4096.0000000000027</v>
      </c>
      <c r="H3">
        <f>IF(CapBudgWS!C8=1,((CapBudgWS!C4-CapBudgWS!C7)/CapBudgWS!C6)*CapBudgWS!H38,(IF(CapBudgWS!C7&lt;CapBudgWS!C4*(1-2/CapBudgWS!C6)^(CapBudgWS!H23),CapBudgWS!C4*(1-2/CapBudgWS!C6)^(CapBudgWS!H23-1)*(2/CapBudgWS!C6)*CapBudgWS!H38,(IF(0&gt;(CapBudgWS!C4*(1-2/CapBudgWS!C6)^(CapBudgWS!H23-1))-CapBudgWS!C7,0,CapBudgWS!C4*CapBudgWS!H38*(1-2/CapBudgWS!C6)^(CapBudgWS!H23-1)-CapBudgWS!C7)))))</f>
        <v>3276.8000000000025</v>
      </c>
      <c r="I3">
        <f>IF(CapBudgWS!C8=1,((CapBudgWS!C4-CapBudgWS!C7)/CapBudgWS!C6)*CapBudgWS!I38,(IF(CapBudgWS!C7&lt;CapBudgWS!C4*(1-2/CapBudgWS!C6)^(CapBudgWS!I23),CapBudgWS!C4*(1-2/CapBudgWS!C6)^(CapBudgWS!I23-1)*(2/CapBudgWS!C6)*CapBudgWS!I38,(IF(0&gt;(CapBudgWS!C4*(1-2/CapBudgWS!C6)^(CapBudgWS!I23-1))-CapBudgWS!C7,0,CapBudgWS!C4*CapBudgWS!I38*(1-2/CapBudgWS!C6)^(CapBudgWS!I23-1)-CapBudgWS!C7)))))</f>
        <v>2621.4400000000019</v>
      </c>
      <c r="J3">
        <f>IF(CapBudgWS!C8=1,((CapBudgWS!C4-CapBudgWS!C7)/CapBudgWS!C6)*CapBudgWS!J38,(IF(CapBudgWS!C7&lt;CapBudgWS!C4*(1-2/CapBudgWS!C6)^(CapBudgWS!J23),CapBudgWS!C4*(1-2/CapBudgWS!C6)^(CapBudgWS!J23-1)*(2/CapBudgWS!C6)*CapBudgWS!J38,(IF(0&gt;(CapBudgWS!C4*(1-2/CapBudgWS!C6)^(CapBudgWS!J23-1))-CapBudgWS!C7,0,CapBudgWS!C4*CapBudgWS!J38*(1-2/CapBudgWS!C6)^(CapBudgWS!J23-1)-CapBudgWS!C7)))))</f>
        <v>485.76000000000749</v>
      </c>
      <c r="K3">
        <f>IF(CapBudgWS!C8=1,((CapBudgWS!C4-CapBudgWS!C7)/CapBudgWS!C6)*CapBudgWS!K38,(IF(CapBudgWS!C7&lt;CapBudgWS!C4*(1-2/CapBudgWS!C6)^(CapBudgWS!K23),CapBudgWS!C4*(1-2/CapBudgWS!C6)^(CapBudgWS!K23-1)*(2/CapBudgWS!C6)*CapBudgWS!K38,(IF(0&gt;(CapBudgWS!C4*(1-2/CapBudgWS!C6)^(CapBudgWS!K23-1))-CapBudgWS!C7,0,CapBudgWS!C4*CapBudgWS!K38*(1-2/CapBudgWS!C6)^(CapBudgWS!K23-1)-CapBudgWS!C7)))))</f>
        <v>0</v>
      </c>
      <c r="L3">
        <f>IF(CapBudgWS!C8=1,((CapBudgWS!C4-CapBudgWS!C7)/CapBudgWS!C6)*CapBudgWS!L38,(IF(CapBudgWS!C7&lt;CapBudgWS!C4*(1-2/CapBudgWS!C6)^(CapBudgWS!L23),CapBudgWS!C4*(1-2/CapBudgWS!C6)^(CapBudgWS!L23-1)*(2/CapBudgWS!C6)*CapBudgWS!L38,(IF(0&gt;(CapBudgWS!C4*(1-2/CapBudgWS!C6)^(CapBudgWS!L23-1))-CapBudgWS!C7,0,CapBudgWS!C4*CapBudgWS!L38*(1-2/CapBudgWS!C6)^(CapBudgWS!L23-1)-CapBudgWS!C7)))))</f>
        <v>0</v>
      </c>
    </row>
    <row r="4" spans="1:12">
      <c r="A4" t="s">
        <v>67</v>
      </c>
      <c r="B4" s="51">
        <f>CapBudgWS!C4</f>
        <v>50000</v>
      </c>
      <c r="C4" s="51">
        <f>CapBudgWS!C60-CapBudgWS!C61</f>
        <v>40000</v>
      </c>
      <c r="D4" s="51">
        <f>CapBudgWS!D60-CapBudgWS!D61</f>
        <v>32000</v>
      </c>
      <c r="E4" s="51">
        <f>CapBudgWS!E60-CapBudgWS!E61</f>
        <v>25600</v>
      </c>
      <c r="F4" s="51">
        <f>CapBudgWS!F60-CapBudgWS!F61</f>
        <v>20480</v>
      </c>
      <c r="G4" s="51">
        <f>CapBudgWS!G60-CapBudgWS!G61</f>
        <v>16383.999999999996</v>
      </c>
      <c r="H4" s="51">
        <f>CapBudgWS!H60-CapBudgWS!H61</f>
        <v>13107.199999999993</v>
      </c>
      <c r="I4" s="51">
        <f>CapBudgWS!I60-CapBudgWS!I61</f>
        <v>10485.759999999991</v>
      </c>
      <c r="J4" s="51">
        <f>CapBudgWS!J60-CapBudgWS!J61</f>
        <v>9999.9999999999836</v>
      </c>
      <c r="K4" s="51">
        <f>CapBudgWS!K60-CapBudgWS!K61</f>
        <v>9999.9999999999836</v>
      </c>
      <c r="L4" s="51">
        <f>CapBudgWS!L60-CapBudgWS!L61</f>
        <v>9999.9999999999836</v>
      </c>
    </row>
    <row r="5" spans="1:12">
      <c r="B5" s="51">
        <f>CapBudgWS!C5</f>
        <v>7484</v>
      </c>
    </row>
    <row r="6" spans="1:12" ht="13">
      <c r="A6" s="9"/>
      <c r="B6" s="23"/>
      <c r="C6" s="23"/>
      <c r="D6" s="23"/>
      <c r="E6" s="23"/>
      <c r="F6" s="23"/>
      <c r="G6" s="23"/>
      <c r="H6" s="23"/>
      <c r="I6" s="23"/>
      <c r="J6" s="23"/>
      <c r="K6" s="48"/>
      <c r="L6" s="24"/>
    </row>
    <row r="7" spans="1:12" ht="13">
      <c r="A7" s="9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</row>
    <row r="8" spans="1:12" ht="13">
      <c r="A8" s="9"/>
      <c r="B8" s="23"/>
      <c r="C8" s="23"/>
      <c r="D8" s="23"/>
      <c r="E8" s="23"/>
      <c r="F8" s="23"/>
      <c r="G8" s="48"/>
      <c r="H8" s="23"/>
      <c r="I8" s="23"/>
      <c r="J8" s="23"/>
      <c r="K8" s="49"/>
      <c r="L8" s="23"/>
    </row>
    <row r="9" spans="1:12" ht="13">
      <c r="A9" s="9"/>
      <c r="B9" s="23"/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1:12" ht="13">
      <c r="A10" s="9"/>
      <c r="B10" s="23"/>
      <c r="C10" s="48"/>
      <c r="D10" s="23"/>
      <c r="E10" s="23"/>
      <c r="F10" s="23"/>
      <c r="G10" s="23"/>
      <c r="H10" s="23"/>
      <c r="I10" s="23"/>
      <c r="J10" s="23"/>
      <c r="K10" s="49"/>
      <c r="L10" s="24"/>
    </row>
    <row r="11" spans="1:12" ht="13">
      <c r="A11" s="9"/>
      <c r="B11" s="23"/>
      <c r="C11" s="23"/>
      <c r="D11" s="23"/>
      <c r="E11" s="23"/>
      <c r="F11" s="23"/>
      <c r="G11" s="48"/>
      <c r="H11" s="23"/>
      <c r="I11" s="23"/>
      <c r="J11" s="23"/>
      <c r="K11" s="49"/>
      <c r="L11" s="24"/>
    </row>
    <row r="12" spans="1:12" ht="13">
      <c r="A12" s="9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</row>
    <row r="13" spans="1:12" ht="13">
      <c r="A13" s="9"/>
      <c r="B13" s="23"/>
      <c r="C13" s="23"/>
      <c r="D13" s="23"/>
      <c r="E13" s="23"/>
      <c r="F13" s="23"/>
      <c r="G13" s="23"/>
      <c r="H13" s="23"/>
      <c r="I13" s="23"/>
      <c r="J13" s="23"/>
      <c r="K13" s="49"/>
      <c r="L13" s="23"/>
    </row>
    <row r="14" spans="1:12" ht="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22"/>
    </row>
    <row r="15" spans="1:12" ht="13">
      <c r="A15" s="9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/>
    </row>
    <row r="25" spans="2:14">
      <c r="B25" s="51"/>
      <c r="F25" s="50"/>
      <c r="G25" s="50"/>
      <c r="H25" s="50"/>
      <c r="I25" s="50"/>
      <c r="J25" s="50"/>
      <c r="K25" s="50"/>
      <c r="L25" s="50"/>
      <c r="M25" s="50"/>
      <c r="N25" s="50"/>
    </row>
    <row r="27" spans="2:14">
      <c r="B27" s="51"/>
    </row>
    <row r="28" spans="2:14">
      <c r="B28" s="51"/>
    </row>
    <row r="29" spans="2:14">
      <c r="B29" s="51"/>
    </row>
    <row r="31" spans="2:14">
      <c r="B31" s="51"/>
    </row>
    <row r="39" spans="3:12">
      <c r="C39" s="51"/>
    </row>
    <row r="40" spans="3:12">
      <c r="D40" s="51"/>
    </row>
    <row r="42" spans="3:12">
      <c r="C42" s="51"/>
      <c r="D42" s="51"/>
      <c r="E42" s="51"/>
      <c r="F42" s="51"/>
      <c r="G42" s="51"/>
      <c r="H42" s="51"/>
      <c r="I42" s="51"/>
      <c r="J42" s="51"/>
      <c r="K42" s="51"/>
      <c r="L42" s="51"/>
    </row>
    <row r="43" spans="3:12">
      <c r="C43" s="51"/>
      <c r="D43" s="51"/>
      <c r="E43" s="51"/>
      <c r="F43" s="51"/>
      <c r="G43" s="51"/>
      <c r="H43" s="51"/>
      <c r="I43" s="51"/>
      <c r="J43" s="51"/>
      <c r="K43" s="51"/>
      <c r="L43" s="51"/>
    </row>
    <row r="44" spans="3:12">
      <c r="C44" s="51"/>
      <c r="D44" s="51"/>
      <c r="E44" s="51"/>
      <c r="F44" s="51"/>
      <c r="G44" s="51"/>
      <c r="H44" s="51"/>
      <c r="I44" s="51"/>
      <c r="J44" s="51"/>
      <c r="K44" s="51"/>
      <c r="L44" s="51"/>
    </row>
    <row r="46" spans="3:12"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spans="3:12"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9" spans="2:12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</row>
    <row r="51" spans="2:12">
      <c r="B51" s="51"/>
    </row>
    <row r="55" spans="2:12">
      <c r="C55" s="5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7F2D-1983-45D9-BC10-7C5C5737A9A4}">
  <sheetPr codeName="Sheet2"/>
  <dimension ref="A1:L63"/>
  <sheetViews>
    <sheetView tabSelected="1" workbookViewId="0">
      <selection activeCell="D21" sqref="D21"/>
    </sheetView>
  </sheetViews>
  <sheetFormatPr defaultRowHeight="12.5"/>
  <cols>
    <col min="1" max="1" width="30.453125" customWidth="1"/>
    <col min="2" max="10" width="10.36328125" customWidth="1"/>
    <col min="11" max="12" width="11.36328125" customWidth="1"/>
  </cols>
  <sheetData>
    <row r="1" spans="1:12">
      <c r="A1" t="s">
        <v>46</v>
      </c>
      <c r="B1" t="s">
        <v>68</v>
      </c>
      <c r="C1" t="s">
        <v>69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</row>
    <row r="2" spans="1:12">
      <c r="A2" t="s">
        <v>47</v>
      </c>
      <c r="C2">
        <f>IF(CapBudgWS!C23&gt;CapBudgWS!C6,0,1)</f>
        <v>1</v>
      </c>
      <c r="D2">
        <f>IF(CapBudgWS!D23&gt;CapBudgWS!C6,0,1)</f>
        <v>1</v>
      </c>
      <c r="E2">
        <f>IF(CapBudgWS!E23&gt;CapBudgWS!C6,0,1)</f>
        <v>1</v>
      </c>
      <c r="F2">
        <f>IF(CapBudgWS!F23&gt;CapBudgWS!C6,0,1)</f>
        <v>1</v>
      </c>
      <c r="G2">
        <f>IF(CapBudgWS!G23&gt;CapBudgWS!C6,0,1)</f>
        <v>1</v>
      </c>
      <c r="H2">
        <f>IF(CapBudgWS!H23&gt;CapBudgWS!C6,0,1)</f>
        <v>1</v>
      </c>
      <c r="I2">
        <f>IF(CapBudgWS!I23&gt;CapBudgWS!C6,0,1)</f>
        <v>1</v>
      </c>
      <c r="J2">
        <f>IF(CapBudgWS!J23&gt;CapBudgWS!C6,0,1)</f>
        <v>1</v>
      </c>
      <c r="K2">
        <f>IF(CapBudgWS!K23&gt;CapBudgWS!C6,0,1)</f>
        <v>1</v>
      </c>
      <c r="L2">
        <f>IF(CapBudgWS!L23&gt;CapBudgWS!C6,0,1)</f>
        <v>1</v>
      </c>
    </row>
    <row r="3" spans="1:12">
      <c r="A3" t="s">
        <v>31</v>
      </c>
      <c r="C3" s="51">
        <f>CapBudgWS!G4</f>
        <v>40000</v>
      </c>
      <c r="D3">
        <f>CapBudgWS!C39*(1+CapBudgWS!D19)*CapBudgWS!D38</f>
        <v>44000</v>
      </c>
      <c r="E3">
        <f>CapBudgWS!D39*(1+CapBudgWS!E19)*CapBudgWS!E38</f>
        <v>48400.000000000007</v>
      </c>
      <c r="F3">
        <f>CapBudgWS!E39*(1+CapBudgWS!F19)*CapBudgWS!F38</f>
        <v>53240.000000000015</v>
      </c>
      <c r="G3">
        <f>CapBudgWS!F39*(1+CapBudgWS!G19)*CapBudgWS!G38</f>
        <v>58564.000000000022</v>
      </c>
      <c r="H3">
        <f>CapBudgWS!G39*(1+CapBudgWS!H19)*CapBudgWS!H38</f>
        <v>58564.000000000022</v>
      </c>
      <c r="I3">
        <f>CapBudgWS!H39*(1+CapBudgWS!I19)*CapBudgWS!I38</f>
        <v>58564.000000000022</v>
      </c>
      <c r="J3">
        <f>CapBudgWS!I39*(1+CapBudgWS!J19)*CapBudgWS!J38</f>
        <v>58564.000000000022</v>
      </c>
      <c r="K3">
        <f>CapBudgWS!J39*(1+CapBudgWS!K19)*CapBudgWS!K38</f>
        <v>58564.000000000022</v>
      </c>
      <c r="L3">
        <f>CapBudgWS!K39*(1+CapBudgWS!L19)*CapBudgWS!L38</f>
        <v>58564.000000000022</v>
      </c>
    </row>
    <row r="4" spans="1:12">
      <c r="A4" t="s">
        <v>48</v>
      </c>
      <c r="C4">
        <f>CapBudgWS!C39*CapBudgWS!G5</f>
        <v>20000</v>
      </c>
      <c r="D4" s="51">
        <f>CapBudgWS!D39*CapBudgWS!G5</f>
        <v>22000</v>
      </c>
      <c r="E4">
        <f>CapBudgWS!E39*CapBudgWS!G5</f>
        <v>24200.000000000004</v>
      </c>
      <c r="F4">
        <f>CapBudgWS!F39*CapBudgWS!G5</f>
        <v>26620.000000000007</v>
      </c>
      <c r="G4">
        <f>CapBudgWS!G39*CapBudgWS!G5</f>
        <v>29282.000000000011</v>
      </c>
      <c r="H4">
        <f>CapBudgWS!H39*CapBudgWS!G5</f>
        <v>29282.000000000011</v>
      </c>
      <c r="I4">
        <f>CapBudgWS!I39*CapBudgWS!G5</f>
        <v>29282.000000000011</v>
      </c>
      <c r="J4">
        <f>CapBudgWS!J39*CapBudgWS!G5</f>
        <v>29282.000000000011</v>
      </c>
      <c r="K4">
        <f>CapBudgWS!K39*CapBudgWS!G5</f>
        <v>29282.000000000011</v>
      </c>
      <c r="L4">
        <f>CapBudgWS!L39*CapBudgWS!G5</f>
        <v>29282.000000000011</v>
      </c>
    </row>
    <row r="5" spans="1:12">
      <c r="A5" t="s">
        <v>49</v>
      </c>
      <c r="C5">
        <f>CapBudgWS!G6</f>
        <v>0</v>
      </c>
      <c r="D5">
        <f>CapBudgWS!C41*(1+CapBudgWS!D20)*CapBudgWS!D38</f>
        <v>0</v>
      </c>
      <c r="E5">
        <f>CapBudgWS!D41*(1+CapBudgWS!E20)*CapBudgWS!E38</f>
        <v>0</v>
      </c>
      <c r="F5">
        <f>CapBudgWS!E41*(1+CapBudgWS!F20)*CapBudgWS!F38</f>
        <v>0</v>
      </c>
      <c r="G5">
        <f>CapBudgWS!F41*(1+CapBudgWS!G20)*CapBudgWS!G38</f>
        <v>0</v>
      </c>
      <c r="H5">
        <f>CapBudgWS!G41*(1+CapBudgWS!H20)*CapBudgWS!H38</f>
        <v>0</v>
      </c>
      <c r="I5">
        <f>CapBudgWS!H41*(1+CapBudgWS!I20)*CapBudgWS!I38</f>
        <v>0</v>
      </c>
      <c r="J5">
        <f>CapBudgWS!I41*(1+CapBudgWS!J20)*CapBudgWS!J38</f>
        <v>0</v>
      </c>
      <c r="K5">
        <f>CapBudgWS!J41*(1+CapBudgWS!K20)*CapBudgWS!K38</f>
        <v>0</v>
      </c>
      <c r="L5">
        <f>CapBudgWS!K41*(1+CapBudgWS!L20)*CapBudgWS!L38</f>
        <v>0</v>
      </c>
    </row>
    <row r="6" spans="1:12">
      <c r="A6" t="s">
        <v>50</v>
      </c>
      <c r="C6" s="51">
        <f>CapBudgWS!C39-CapBudgWS!C40-CapBudgWS!C41</f>
        <v>20000</v>
      </c>
      <c r="D6" s="51">
        <f>CapBudgWS!D39-CapBudgWS!D40-CapBudgWS!D41</f>
        <v>22000</v>
      </c>
      <c r="E6" s="51">
        <f>CapBudgWS!E39-CapBudgWS!E40-CapBudgWS!E41</f>
        <v>24200.000000000004</v>
      </c>
      <c r="F6" s="51">
        <f>CapBudgWS!F39-CapBudgWS!F40-CapBudgWS!F41</f>
        <v>26620.000000000007</v>
      </c>
      <c r="G6" s="51">
        <f>CapBudgWS!G39-CapBudgWS!G40-CapBudgWS!G41</f>
        <v>29282.000000000011</v>
      </c>
      <c r="H6" s="51">
        <f>CapBudgWS!H39-CapBudgWS!H40-CapBudgWS!H41</f>
        <v>29282.000000000011</v>
      </c>
      <c r="I6" s="51">
        <f>CapBudgWS!I39-CapBudgWS!I40-CapBudgWS!I41</f>
        <v>29282.000000000011</v>
      </c>
      <c r="J6" s="51">
        <f>CapBudgWS!J39-CapBudgWS!J40-CapBudgWS!J41</f>
        <v>29282.000000000011</v>
      </c>
      <c r="K6" s="51">
        <f>CapBudgWS!K39-CapBudgWS!K40-CapBudgWS!K41</f>
        <v>29282.000000000011</v>
      </c>
      <c r="L6" s="51">
        <f>CapBudgWS!L39-CapBudgWS!L40-CapBudgWS!L41</f>
        <v>29282.000000000011</v>
      </c>
    </row>
    <row r="7" spans="1:12">
      <c r="A7" t="s">
        <v>51</v>
      </c>
      <c r="C7" s="51">
        <f>CapBudgWS!C61</f>
        <v>10000</v>
      </c>
      <c r="D7" s="51">
        <f>CapBudgWS!D61</f>
        <v>8000</v>
      </c>
      <c r="E7" s="51">
        <f>CapBudgWS!E61</f>
        <v>6400.0000000000018</v>
      </c>
      <c r="F7" s="51">
        <f>CapBudgWS!F61</f>
        <v>5120.0000000000018</v>
      </c>
      <c r="G7" s="51">
        <f>CapBudgWS!G61</f>
        <v>4096.0000000000027</v>
      </c>
      <c r="H7" s="51">
        <f>CapBudgWS!H61</f>
        <v>3276.8000000000025</v>
      </c>
      <c r="I7" s="51">
        <f>CapBudgWS!I61</f>
        <v>2621.4400000000019</v>
      </c>
      <c r="J7" s="51">
        <f>CapBudgWS!J61</f>
        <v>485.76000000000749</v>
      </c>
      <c r="K7" s="51">
        <f>CapBudgWS!K61</f>
        <v>0</v>
      </c>
      <c r="L7" s="51">
        <f>CapBudgWS!L61</f>
        <v>0</v>
      </c>
    </row>
    <row r="8" spans="1:12">
      <c r="A8" t="s">
        <v>52</v>
      </c>
      <c r="C8" s="51">
        <f>CapBudgWS!C42-CapBudgWS!C43</f>
        <v>10000</v>
      </c>
      <c r="D8" s="51">
        <f>CapBudgWS!D42-CapBudgWS!D43</f>
        <v>14000</v>
      </c>
      <c r="E8" s="51">
        <f>CapBudgWS!E42-CapBudgWS!E43</f>
        <v>17800</v>
      </c>
      <c r="F8" s="51">
        <f>CapBudgWS!F42-CapBudgWS!F43</f>
        <v>21500.000000000007</v>
      </c>
      <c r="G8" s="51">
        <f>CapBudgWS!G42-CapBudgWS!G43</f>
        <v>25186.000000000007</v>
      </c>
      <c r="H8" s="51">
        <f>CapBudgWS!H42-CapBudgWS!H43</f>
        <v>26005.200000000008</v>
      </c>
      <c r="I8" s="51">
        <f>CapBudgWS!I42-CapBudgWS!I43</f>
        <v>26660.560000000009</v>
      </c>
      <c r="J8" s="51">
        <f>CapBudgWS!J42-CapBudgWS!J43</f>
        <v>28796.240000000005</v>
      </c>
      <c r="K8" s="51">
        <f>CapBudgWS!K42-CapBudgWS!K43</f>
        <v>29282.000000000011</v>
      </c>
      <c r="L8" s="51">
        <f>CapBudgWS!L42-CapBudgWS!L43</f>
        <v>29282.000000000011</v>
      </c>
    </row>
    <row r="9" spans="1:12">
      <c r="A9" t="s">
        <v>53</v>
      </c>
      <c r="C9">
        <f>CapBudgWS!C44*CapBudgWS!G7</f>
        <v>4000</v>
      </c>
      <c r="D9">
        <f>CapBudgWS!D44*CapBudgWS!G7</f>
        <v>5600</v>
      </c>
      <c r="E9">
        <f>CapBudgWS!E44*CapBudgWS!G7</f>
        <v>7120</v>
      </c>
      <c r="F9">
        <f>CapBudgWS!F44*CapBudgWS!G7</f>
        <v>8600.0000000000036</v>
      </c>
      <c r="G9">
        <f>CapBudgWS!G44*CapBudgWS!G7</f>
        <v>10074.400000000003</v>
      </c>
      <c r="H9">
        <f>CapBudgWS!H44*CapBudgWS!G7</f>
        <v>10402.080000000004</v>
      </c>
      <c r="I9">
        <f>CapBudgWS!I44*CapBudgWS!G7</f>
        <v>10664.224000000004</v>
      </c>
      <c r="J9">
        <f>CapBudgWS!J44*CapBudgWS!G7</f>
        <v>11518.496000000003</v>
      </c>
      <c r="K9">
        <f>CapBudgWS!K44*CapBudgWS!G7</f>
        <v>11712.800000000005</v>
      </c>
      <c r="L9">
        <f>CapBudgWS!L44*CapBudgWS!G7</f>
        <v>11712.800000000005</v>
      </c>
    </row>
    <row r="10" spans="1:12">
      <c r="A10" t="s">
        <v>54</v>
      </c>
      <c r="C10" s="51">
        <f>CapBudgWS!C44-CapBudgWS!C45</f>
        <v>6000</v>
      </c>
      <c r="D10" s="51">
        <f>CapBudgWS!D44-CapBudgWS!D45</f>
        <v>8400</v>
      </c>
      <c r="E10" s="51">
        <f>CapBudgWS!E44-CapBudgWS!E45</f>
        <v>10680</v>
      </c>
      <c r="F10" s="51">
        <f>CapBudgWS!F44-CapBudgWS!F45</f>
        <v>12900.000000000004</v>
      </c>
      <c r="G10" s="51">
        <f>CapBudgWS!G44-CapBudgWS!G45</f>
        <v>15111.600000000004</v>
      </c>
      <c r="H10" s="51">
        <f>CapBudgWS!H44-CapBudgWS!H45</f>
        <v>15603.120000000004</v>
      </c>
      <c r="I10" s="51">
        <f>CapBudgWS!I44-CapBudgWS!I45</f>
        <v>15996.336000000005</v>
      </c>
      <c r="J10" s="51">
        <f>CapBudgWS!J44-CapBudgWS!J45</f>
        <v>17277.744000000002</v>
      </c>
      <c r="K10" s="51">
        <f>CapBudgWS!K44-CapBudgWS!K45</f>
        <v>17569.200000000004</v>
      </c>
      <c r="L10" s="51">
        <f>CapBudgWS!L44-CapBudgWS!L45</f>
        <v>17569.200000000004</v>
      </c>
    </row>
    <row r="11" spans="1:12">
      <c r="A11" t="s">
        <v>55</v>
      </c>
      <c r="C11" s="51">
        <f>CapBudgWS!C43</f>
        <v>10000</v>
      </c>
      <c r="D11" s="51">
        <f>CapBudgWS!D43</f>
        <v>8000</v>
      </c>
      <c r="E11" s="51">
        <f>CapBudgWS!E43</f>
        <v>6400.0000000000018</v>
      </c>
      <c r="F11" s="51">
        <f>CapBudgWS!F43</f>
        <v>5120.0000000000018</v>
      </c>
      <c r="G11" s="51">
        <f>CapBudgWS!G43</f>
        <v>4096.0000000000027</v>
      </c>
      <c r="H11" s="51">
        <f>CapBudgWS!H43</f>
        <v>3276.8000000000025</v>
      </c>
      <c r="I11" s="51">
        <f>CapBudgWS!I43</f>
        <v>2621.4400000000019</v>
      </c>
      <c r="J11" s="51">
        <f>CapBudgWS!J43</f>
        <v>485.76000000000749</v>
      </c>
      <c r="K11" s="51">
        <f>CapBudgWS!K43</f>
        <v>0</v>
      </c>
      <c r="L11" s="51">
        <f>CapBudgWS!L43</f>
        <v>0</v>
      </c>
    </row>
    <row r="12" spans="1:12">
      <c r="A12" t="s">
        <v>56</v>
      </c>
      <c r="C12">
        <f>(CapBudgWS!C14*CapBudgWS!C39-CapBudgWS!B28)*CapBudgWS!C38</f>
        <v>0</v>
      </c>
      <c r="D12">
        <f>(CapBudgWS!C14*CapBudgWS!D39-CapBudgWS!B28)*CapBudgWS!D38</f>
        <v>1000</v>
      </c>
      <c r="E12">
        <f>(CapBudgWS!C14*CapBudgWS!E39-CapBudgWS!B28-SUM(CapBudgWS!C48,CapBudgWS!D48))*CapBudgWS!E38</f>
        <v>1100.0000000000018</v>
      </c>
      <c r="F12">
        <f>(CapBudgWS!C14*CapBudgWS!F39-CapBudgWS!B28-SUM(CapBudgWS!C48:'CapBudgWS'!E48))*CapBudgWS!F38</f>
        <v>1210.0000000000018</v>
      </c>
      <c r="G12">
        <f>(CapBudgWS!C14*CapBudgWS!G39-CapBudgWS!B28-SUM(CapBudgWS!C48:'CapBudgWS'!F48))*CapBudgWS!G38</f>
        <v>1331.0000000000018</v>
      </c>
      <c r="H12">
        <f>(CapBudgWS!C14*CapBudgWS!H39-CapBudgWS!B28-SUM(CapBudgWS!C48:'CapBudgWS'!G48))*CapBudgWS!H38</f>
        <v>0</v>
      </c>
      <c r="I12">
        <f>(CapBudgWS!C14*CapBudgWS!I39-CapBudgWS!B28-SUM(CapBudgWS!C48:'CapBudgWS'!H48))*CapBudgWS!I38</f>
        <v>0</v>
      </c>
      <c r="J12">
        <f>(CapBudgWS!C14*CapBudgWS!J39-CapBudgWS!B28-SUM(CapBudgWS!C48:'CapBudgWS'!I48))*CapBudgWS!J38</f>
        <v>0</v>
      </c>
      <c r="K12">
        <f>(CapBudgWS!C14*CapBudgWS!K39-CapBudgWS!B28-SUM(CapBudgWS!C48:'CapBudgWS'!J48))*CapBudgWS!K38</f>
        <v>0</v>
      </c>
      <c r="L12">
        <f>(CapBudgWS!C14*CapBudgWS!L39-CapBudgWS!B28-SUM(CapBudgWS!C48:'CapBudgWS'!K48))*CapBudgWS!L38</f>
        <v>0</v>
      </c>
    </row>
    <row r="13" spans="1:12">
      <c r="A13" t="s">
        <v>57</v>
      </c>
      <c r="B13" s="51">
        <f>0-CapBudgWS!B31</f>
        <v>-62484</v>
      </c>
      <c r="C13" s="51">
        <f>CapBudgWS!C46+CapBudgWS!C47-CapBudgWS!C48</f>
        <v>16000</v>
      </c>
      <c r="D13" s="51">
        <f>CapBudgWS!D46+CapBudgWS!D47-CapBudgWS!D48</f>
        <v>15400</v>
      </c>
      <c r="E13" s="51">
        <f>CapBudgWS!E46+CapBudgWS!E47-CapBudgWS!E48</f>
        <v>15979.999999999998</v>
      </c>
      <c r="F13" s="51">
        <f>CapBudgWS!F46+CapBudgWS!F47-CapBudgWS!F48</f>
        <v>16810.000000000007</v>
      </c>
      <c r="G13" s="51">
        <f>CapBudgWS!G46+CapBudgWS!G47-CapBudgWS!G48</f>
        <v>17876.600000000006</v>
      </c>
      <c r="H13" s="51">
        <f>CapBudgWS!H46+CapBudgWS!H47-CapBudgWS!H48</f>
        <v>18879.920000000006</v>
      </c>
      <c r="I13" s="51">
        <f>CapBudgWS!I46+CapBudgWS!I47-CapBudgWS!I48</f>
        <v>18617.776000000005</v>
      </c>
      <c r="J13" s="51">
        <f>CapBudgWS!J46+CapBudgWS!J47-CapBudgWS!J48</f>
        <v>17763.504000000008</v>
      </c>
      <c r="K13" s="51">
        <f>CapBudgWS!K46+CapBudgWS!K47-CapBudgWS!K48</f>
        <v>17569.200000000004</v>
      </c>
      <c r="L13" s="51">
        <f>CapBudgWS!L46+CapBudgWS!L47-CapBudgWS!L48</f>
        <v>17569.200000000004</v>
      </c>
    </row>
    <row r="14" spans="1:12">
      <c r="A14" t="s">
        <v>58</v>
      </c>
      <c r="B14">
        <f>1</f>
        <v>1</v>
      </c>
      <c r="C14">
        <f>CapBudgWS!C38*(1+CapBudgWS!K11)^CapBudgWS!C23</f>
        <v>1.1068500000000001</v>
      </c>
      <c r="D14">
        <f>CapBudgWS!D38*(1+CapBudgWS!K11)^CapBudgWS!D23</f>
        <v>1.2251169225000003</v>
      </c>
      <c r="E14">
        <f>CapBudgWS!E38*(1+CapBudgWS!K11)^CapBudgWS!E23</f>
        <v>1.3560206656691254</v>
      </c>
      <c r="F14">
        <f>CapBudgWS!F38*(1+CapBudgWS!K11)^CapBudgWS!F23</f>
        <v>1.5009114737958718</v>
      </c>
      <c r="G14">
        <f>CapBudgWS!G38*(1+CapBudgWS!K11)^CapBudgWS!G23</f>
        <v>1.6612838647709609</v>
      </c>
      <c r="H14">
        <f>CapBudgWS!H38*(1+CapBudgWS!K11)^CapBudgWS!H23</f>
        <v>1.8387920457217382</v>
      </c>
      <c r="I14">
        <f>CapBudgWS!I38*(1+CapBudgWS!K11)^CapBudgWS!I23</f>
        <v>2.0352669758071062</v>
      </c>
      <c r="J14">
        <f>CapBudgWS!J38*(1+CapBudgWS!K11)^CapBudgWS!J23</f>
        <v>2.252735252172096</v>
      </c>
      <c r="K14">
        <f>CapBudgWS!K38*(1+CapBudgWS!K11)^CapBudgWS!K23</f>
        <v>2.4934400138666848</v>
      </c>
      <c r="L14">
        <f>CapBudgWS!L38*(1+CapBudgWS!K11)^CapBudgWS!L23</f>
        <v>2.7598640793483402</v>
      </c>
    </row>
    <row r="15" spans="1:12">
      <c r="A15" t="s">
        <v>59</v>
      </c>
      <c r="B15" s="51">
        <f>0-CapBudgWS!B31</f>
        <v>-62484</v>
      </c>
      <c r="C15">
        <f>(CapBudgWS!C49+CapBudgWS!C34+CapBudgWS!C35)/(1+CapBudgWS!K11)^CapBudgWS!C23</f>
        <v>14455.436599358538</v>
      </c>
      <c r="D15">
        <f>(CapBudgWS!D49+CapBudgWS!D34+CapBudgWS!D35)/(1+CapBudgWS!K11)^CapBudgWS!D23</f>
        <v>12570.228781571659</v>
      </c>
      <c r="E15">
        <f>(CapBudgWS!E49+CapBudgWS!E34+CapBudgWS!E35)/(1+CapBudgWS!K11)^CapBudgWS!E23</f>
        <v>11784.481169477385</v>
      </c>
      <c r="F15">
        <f>(CapBudgWS!F49+CapBudgWS!F34+CapBudgWS!F35)/(1+CapBudgWS!K11)^CapBudgWS!F23</f>
        <v>11199.861080072078</v>
      </c>
      <c r="G15">
        <f>(CapBudgWS!G49+CapBudgWS!G34+CapBudgWS!G35)/(1+CapBudgWS!K11)^CapBudgWS!G23</f>
        <v>10760.713673978065</v>
      </c>
      <c r="H15">
        <f>(CapBudgWS!H49+CapBudgWS!H34+CapBudgWS!H35)/(1+CapBudgWS!K11)^CapBudgWS!H23</f>
        <v>10267.566712574891</v>
      </c>
      <c r="I15">
        <f>(CapBudgWS!I49+CapBudgWS!I34+CapBudgWS!I35)/(1+CapBudgWS!K11)^CapBudgWS!I23</f>
        <v>9147.5841849283352</v>
      </c>
      <c r="J15">
        <f>(CapBudgWS!J49+CapBudgWS!J34+CapBudgWS!J35)/(1+CapBudgWS!K11)^CapBudgWS!J23</f>
        <v>7885.3047569049086</v>
      </c>
      <c r="K15">
        <f>(CapBudgWS!K49+CapBudgWS!K34+CapBudgWS!K35)/(1+CapBudgWS!K11)^CapBudgWS!K23</f>
        <v>7046.1691086583187</v>
      </c>
      <c r="L15">
        <f>(CapBudgWS!L49+CapBudgWS!L34+CapBudgWS!L35)/(1+CapBudgWS!K11)^CapBudgWS!L23</f>
        <v>9989.3325205021156</v>
      </c>
    </row>
    <row r="20" spans="2:12">
      <c r="D20" s="50"/>
      <c r="E20" s="50"/>
      <c r="F20" s="50"/>
      <c r="G20" s="50"/>
      <c r="H20" s="50"/>
      <c r="I20" s="50"/>
      <c r="J20" s="50"/>
      <c r="K20" s="50"/>
      <c r="L20" s="50"/>
    </row>
    <row r="25" spans="2:12">
      <c r="B25" s="51"/>
    </row>
    <row r="27" spans="2:12">
      <c r="B27" s="51"/>
    </row>
    <row r="28" spans="2:12">
      <c r="B28" s="51"/>
    </row>
    <row r="29" spans="2:12">
      <c r="B29" s="51"/>
    </row>
    <row r="31" spans="2:12">
      <c r="B31" s="51"/>
    </row>
    <row r="55" spans="2:12">
      <c r="C55" s="52"/>
    </row>
    <row r="60" spans="2:12">
      <c r="C60" s="51"/>
    </row>
    <row r="62" spans="2:12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</row>
    <row r="63" spans="2:12">
      <c r="B63" s="5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CapBudgWS</vt:lpstr>
      <vt:lpstr>investment measures</vt:lpstr>
      <vt:lpstr>growth rates</vt:lpstr>
      <vt:lpstr>working capital</vt:lpstr>
      <vt:lpstr>discount rate</vt:lpstr>
      <vt:lpstr>cashflow details</vt:lpstr>
      <vt:lpstr>initial investment</vt:lpstr>
      <vt:lpstr>book value &amp; depreciation</vt:lpstr>
      <vt:lpstr>operating cashflows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Aswath Damodaran</dc:creator>
  <cp:keywords/>
  <dc:description/>
  <cp:lastModifiedBy>user</cp:lastModifiedBy>
  <dcterms:created xsi:type="dcterms:W3CDTF">2000-11-15T22:33:24Z</dcterms:created>
  <dcterms:modified xsi:type="dcterms:W3CDTF">2025-07-03T07:09:02Z</dcterms:modified>
</cp:coreProperties>
</file>